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au de bord" sheetId="1" r:id="rId1"/>
    <sheet name="Données" sheetId="2" r:id="rId2"/>
    <sheet name="Calculs" sheetId="3" state="hidden" r:id="rId3"/>
    <sheet name="À propos" sheetId="4" r:id="rId4"/>
  </sheets>
  <definedNames>
    <definedName name="_xlnm._FilterDatabase" localSheetId="1" hidden="1">Données!$A$1:$AH$73</definedName>
    <definedName name="_xlnm.Print_Area" localSheetId="0">'Tableau de bord'!$A$1:$Q$62</definedName>
  </definedNames>
  <calcPr calcId="124519" fullCalcOnLoad="1"/>
</workbook>
</file>

<file path=xl/sharedStrings.xml><?xml version="1.0" encoding="utf-8"?>
<sst xmlns="http://schemas.openxmlformats.org/spreadsheetml/2006/main" count="469" uniqueCount="195">
  <si>
    <t>Clé</t>
  </si>
  <si>
    <t>Indicateur</t>
  </si>
  <si>
    <t>Pays</t>
  </si>
  <si>
    <t>Unité</t>
  </si>
  <si>
    <t>Dernière année</t>
  </si>
  <si>
    <t>Dernière valeur</t>
  </si>
  <si>
    <t>Évolution 5 ans</t>
  </si>
  <si>
    <t>Rang UEMOA</t>
  </si>
  <si>
    <t>growth|BEN</t>
  </si>
  <si>
    <t>Croissance du PIB</t>
  </si>
  <si>
    <t>Bénin</t>
  </si>
  <si>
    <t>% par an</t>
  </si>
  <si>
    <t>growth|BFA</t>
  </si>
  <si>
    <t>Burkina Faso</t>
  </si>
  <si>
    <t>growth|CIV</t>
  </si>
  <si>
    <t>Côte d'Ivoire</t>
  </si>
  <si>
    <t>growth|GNB</t>
  </si>
  <si>
    <t>Guinée-Bissau</t>
  </si>
  <si>
    <t>growth|MLI</t>
  </si>
  <si>
    <t>Mali</t>
  </si>
  <si>
    <t>growth|NER</t>
  </si>
  <si>
    <t>Niger</t>
  </si>
  <si>
    <t>growth|SEN</t>
  </si>
  <si>
    <t>Sénégal</t>
  </si>
  <si>
    <t>growth|TGO</t>
  </si>
  <si>
    <t>Togo</t>
  </si>
  <si>
    <t>growth|UEMOA</t>
  </si>
  <si>
    <t>UEMOA (moyenne des 8 pays)</t>
  </si>
  <si>
    <t>gdpPerCapita|BEN</t>
  </si>
  <si>
    <t>PIB par habitant</t>
  </si>
  <si>
    <t>dollars courants</t>
  </si>
  <si>
    <t>gdpPerCapita|BFA</t>
  </si>
  <si>
    <t>gdpPerCapita|CIV</t>
  </si>
  <si>
    <t>gdpPerCapita|GNB</t>
  </si>
  <si>
    <t>gdpPerCapita|MLI</t>
  </si>
  <si>
    <t>gdpPerCapita|NER</t>
  </si>
  <si>
    <t>gdpPerCapita|SEN</t>
  </si>
  <si>
    <t>gdpPerCapita|TGO</t>
  </si>
  <si>
    <t>gdpPerCapita|UEMOA</t>
  </si>
  <si>
    <t>inflation|BEN</t>
  </si>
  <si>
    <t>Inflation</t>
  </si>
  <si>
    <t>% par an, prix à la consommation</t>
  </si>
  <si>
    <t>inflation|BFA</t>
  </si>
  <si>
    <t>inflation|CIV</t>
  </si>
  <si>
    <t>inflation|GNB</t>
  </si>
  <si>
    <t>inflation|MLI</t>
  </si>
  <si>
    <t>inflation|NER</t>
  </si>
  <si>
    <t>inflation|SEN</t>
  </si>
  <si>
    <t>inflation|TGO</t>
  </si>
  <si>
    <t>inflation|UEMOA</t>
  </si>
  <si>
    <t>population|BEN</t>
  </si>
  <si>
    <t>Population</t>
  </si>
  <si>
    <t>millions d'habitants</t>
  </si>
  <si>
    <t>population|BFA</t>
  </si>
  <si>
    <t>population|CIV</t>
  </si>
  <si>
    <t>population|GNB</t>
  </si>
  <si>
    <t>population|MLI</t>
  </si>
  <si>
    <t>population|NER</t>
  </si>
  <si>
    <t>population|SEN</t>
  </si>
  <si>
    <t>population|TGO</t>
  </si>
  <si>
    <t>population|UEMOA</t>
  </si>
  <si>
    <t>urban|BEN</t>
  </si>
  <si>
    <t>Population urbaine</t>
  </si>
  <si>
    <t>% de la population</t>
  </si>
  <si>
    <t>urban|BFA</t>
  </si>
  <si>
    <t>urban|CIV</t>
  </si>
  <si>
    <t>urban|GNB</t>
  </si>
  <si>
    <t>urban|MLI</t>
  </si>
  <si>
    <t>urban|NER</t>
  </si>
  <si>
    <t>urban|SEN</t>
  </si>
  <si>
    <t>urban|TGO</t>
  </si>
  <si>
    <t>urban|UEMOA</t>
  </si>
  <si>
    <t>electricity|BEN</t>
  </si>
  <si>
    <t>Accès à l'électricité</t>
  </si>
  <si>
    <t>electricity|BFA</t>
  </si>
  <si>
    <t>electricity|CIV</t>
  </si>
  <si>
    <t>electricity|GNB</t>
  </si>
  <si>
    <t>electricity|MLI</t>
  </si>
  <si>
    <t>electricity|NER</t>
  </si>
  <si>
    <t>electricity|SEN</t>
  </si>
  <si>
    <t>electricity|TGO</t>
  </si>
  <si>
    <t>electricity|UEMOA</t>
  </si>
  <si>
    <t>internet|BEN</t>
  </si>
  <si>
    <t>Utilisateurs d'internet</t>
  </si>
  <si>
    <t>internet|BFA</t>
  </si>
  <si>
    <t>internet|CIV</t>
  </si>
  <si>
    <t>internet|GNB</t>
  </si>
  <si>
    <t>internet|MLI</t>
  </si>
  <si>
    <t>internet|NER</t>
  </si>
  <si>
    <t>internet|SEN</t>
  </si>
  <si>
    <t>internet|TGO</t>
  </si>
  <si>
    <t>internet|UEMOA</t>
  </si>
  <si>
    <t>lifeExpectancy|BEN</t>
  </si>
  <si>
    <t>Espérance de vie</t>
  </si>
  <si>
    <t>années, à la naissance</t>
  </si>
  <si>
    <t>lifeExpectancy|BFA</t>
  </si>
  <si>
    <t>lifeExpectancy|CIV</t>
  </si>
  <si>
    <t>lifeExpectancy|GNB</t>
  </si>
  <si>
    <t>lifeExpectancy|MLI</t>
  </si>
  <si>
    <t>lifeExpectancy|NER</t>
  </si>
  <si>
    <t>lifeExpectancy|SEN</t>
  </si>
  <si>
    <t>lifeExpectancy|TGO</t>
  </si>
  <si>
    <t>lifeExpectancy|UEMOA</t>
  </si>
  <si>
    <t>Pays (filtre)</t>
  </si>
  <si>
    <t>Code</t>
  </si>
  <si>
    <t>BEN</t>
  </si>
  <si>
    <t>BFA</t>
  </si>
  <si>
    <t>CIV</t>
  </si>
  <si>
    <t>GNB</t>
  </si>
  <si>
    <t>MLI</t>
  </si>
  <si>
    <t>NER</t>
  </si>
  <si>
    <t>SEN</t>
  </si>
  <si>
    <t>TGO</t>
  </si>
  <si>
    <t>UEMOA</t>
  </si>
  <si>
    <t>Indicateur (filtre)</t>
  </si>
  <si>
    <t>Format</t>
  </si>
  <si>
    <t>growth</t>
  </si>
  <si>
    <t>gdpPerCapita</t>
  </si>
  <si>
    <t>inflation</t>
  </si>
  <si>
    <t>population</t>
  </si>
  <si>
    <t>urban</t>
  </si>
  <si>
    <t>electricity</t>
  </si>
  <si>
    <t>internet</t>
  </si>
  <si>
    <t>lifeExpectancy</t>
  </si>
  <si>
    <t>Code pays choisi</t>
  </si>
  <si>
    <t>Code pays de comparaison</t>
  </si>
  <si>
    <t>Clé indicateur</t>
  </si>
  <si>
    <t>Unité indicateur</t>
  </si>
  <si>
    <t>Titre graphique 1</t>
  </si>
  <si>
    <t>Titre graphique 2</t>
  </si>
  <si>
    <t>Nom court pays choisi</t>
  </si>
  <si>
    <t>Nom court pays de comparaison</t>
  </si>
  <si>
    <t>Année</t>
  </si>
  <si>
    <t>Pays choisi</t>
  </si>
  <si>
    <t>Comparaison</t>
  </si>
  <si>
    <t>Moyenne UEMOA</t>
  </si>
  <si>
    <t>Autres pays</t>
  </si>
  <si>
    <t>TABLEAU DE BORD INTERACTIF</t>
  </si>
  <si>
    <t>L'UEMOA en chiffres</t>
  </si>
  <si>
    <t>8 pays · 8 indicateurs économiques et sociaux · 2000-2025 · Banque mondiale, données consultées le 29 septembre 2026</t>
  </si>
  <si>
    <t>Pinel Baudelaire DAHOUI</t>
  </si>
  <si>
    <t>Data Scientist &amp; chercheur en IA</t>
  </si>
  <si>
    <t>site-pinel-dahoui.vercel.app</t>
  </si>
  <si>
    <t>FILTRES</t>
  </si>
  <si>
    <t>Pays ▼</t>
  </si>
  <si>
    <t>Comparer avec ▼</t>
  </si>
  <si>
    <t>Cliquez sur une case bleue puis choisissez dans la liste : les cartes, les graphiques et le classement se mettent à jour.</t>
  </si>
  <si>
    <t>Sélection :</t>
  </si>
  <si>
    <t>Dernière année disponible · évolution sur 5 ans · rang parmi les 8 pays</t>
  </si>
  <si>
    <t>CROISSANCE DU PIB</t>
  </si>
  <si>
    <t>en 5 ans</t>
  </si>
  <si>
    <t>Moy. UEMOA :</t>
  </si>
  <si>
    <t>PIB PAR HABITANT</t>
  </si>
  <si>
    <t>INFLATION</t>
  </si>
  <si>
    <t>cible 1 à 3 %</t>
  </si>
  <si>
    <t>POPULATION</t>
  </si>
  <si>
    <t>POPULATION URBAINE</t>
  </si>
  <si>
    <t>ACCÈS À L'ÉLECTRICITÉ</t>
  </si>
  <si>
    <t>UTILISATEURS D'INTERNET</t>
  </si>
  <si>
    <t>ESPÉRANCE DE VIE</t>
  </si>
  <si>
    <t>ÉVOLUTION ET COMPARAISON</t>
  </si>
  <si>
    <t>Indicateur ▼</t>
  </si>
  <si>
    <t>Le graphique de gauche trace le pays choisi, le pays de comparaison et la moyenne UEMOA.</t>
  </si>
  <si>
    <t>CLASSEMENT UEMOA · DERNIÈRE VALEUR DISPONIBLE</t>
  </si>
  <si>
    <t>Source : Banque mondiale, World Development Indicators (données ouvertes, CC BY 4.0). Moyenne UEMOA : moyenne simple des 8 pays, non pondérée. n.d. : non disponible. Méthode et définitions : feuille « À propos ».</t>
  </si>
  <si>
    <t>Conception et réalisation : Pinel Baudelaire DAHOUI · tpineldahoui@gmail.com · +229 01 69 27 64 34 · site-pinel-dahoui.vercel.app</t>
  </si>
  <si>
    <t>À propos de ce tableau de bord</t>
  </si>
  <si>
    <t>Objet</t>
  </si>
  <si>
    <t>Suivre et comparer les grands indicateurs économiques et sociaux des 8 pays de l'Union économique et monétaire ouest-africaine (UEMOA).</t>
  </si>
  <si>
    <t>Utilisation</t>
  </si>
  <si>
    <t>Trois filtres (cases bleues) : « Pays » (un pays ou la moyenne UEMOA), « Comparer avec » (un second pays sur le graphique) et « Indicateur » (indicateur des deux graphiques). Fonctionne dans Excel, Excel pour le web, Google Sheets et LibreOffice.</t>
  </si>
  <si>
    <t>Source</t>
  </si>
  <si>
    <t>Banque mondiale, World Development Indicators (données ouvertes, licence CC BY 4.0), consultées le 29 septembre 2026.</t>
  </si>
  <si>
    <t>Période</t>
  </si>
  <si>
    <t>2000 à 2025. Les cartes et le classement utilisent la dernière année disponible pour chaque pays et chaque indicateur.</t>
  </si>
  <si>
    <t>Moyenne simple des 8 pays, non pondérée par la population ou le PIB (calculée pour une année si au moins 6 pays sont renseignés) : un repère de comparaison, pas une statistique officielle de l'Union.</t>
  </si>
  <si>
    <t>Évolution</t>
  </si>
  <si>
    <t>Écart avec la valeur observée 5 ans avant la dernière année disponible : en points pour les taux, en % pour le PIB par habitant et la population.</t>
  </si>
  <si>
    <t>Rang</t>
  </si>
  <si>
    <t>Position du pays parmi les 8 (1er = valeur la plus élevée). Pour l'inflation, le repère est la zone de 1 à 3 % visée par la BCEAO.</t>
  </si>
  <si>
    <t>Données</t>
  </si>
  <si>
    <t>Feuille « Données » : toutes les séries par pays et par année, réutilisables dans vos propres analyses.</t>
  </si>
  <si>
    <t>Auteur</t>
  </si>
  <si>
    <t>Pinel Baudelaire DAHOUI, Data Scientist &amp; chercheur en IA, Cotonou (Bénin).</t>
  </si>
  <si>
    <t>Contact</t>
  </si>
  <si>
    <t>site-pinel-dahoui.vercel.app · tpineldahoui@gmail.com · WhatsApp +229 01 69 27 64 34</t>
  </si>
  <si>
    <t>Définitions (Banque mondiale)</t>
  </si>
  <si>
    <t>GDP growth (annual %) (code NY.GDP.MKTP.KD.ZG)</t>
  </si>
  <si>
    <t>GDP per capita (current US$) (code NY.GDP.PCAP.CD)</t>
  </si>
  <si>
    <t>Inflation, consumer prices (annual %) (code FP.CPI.TOTL.ZG)</t>
  </si>
  <si>
    <t>Population, total (code SP.POP.TOTL)</t>
  </si>
  <si>
    <t>Urban population (% of total population) (code SP.URB.TOTL.IN.ZS)</t>
  </si>
  <si>
    <t>Access to electricity (% of population) (code EG.ELC.ACCS.ZS)</t>
  </si>
  <si>
    <t>Individuals using the Internet (% of population) (code IT.NET.USER.ZS)</t>
  </si>
  <si>
    <t>Life expectancy at birth, total (years) (code SP.DYN.LE00.IN)</t>
  </si>
</sst>
</file>

<file path=xl/styles.xml><?xml version="1.0" encoding="utf-8"?>
<styleSheet xmlns="http://schemas.openxmlformats.org/spreadsheetml/2006/main">
  <numFmts count="8">
    <numFmt numFmtId="164" formatCode="0.0&quot; %&quot;"/>
    <numFmt numFmtId="165" formatCode="#,##0&quot; $&quot;"/>
    <numFmt numFmtId="166" formatCode="0.0&quot; M&quot;"/>
    <numFmt numFmtId="167" formatCode="▲ +0.0&quot; pt&quot;;▼ -0.0&quot; pt&quot;;&quot;= 0&quot;"/>
    <numFmt numFmtId="168" formatCode="▲ +0.0&quot; %&quot;;▼ -0.0&quot; %&quot;;&quot;= 0&quot;"/>
    <numFmt numFmtId="169" formatCode="0.0&quot; ans&quot;"/>
    <numFmt numFmtId="170" formatCode="▲ +0.0&quot; an&quot;;▼ -0.0&quot; an&quot;;&quot;= 0&quot;"/>
    <numFmt numFmtId="171" formatCode="#,##0.00"/>
  </numFmts>
  <fonts count="29">
    <font>
      <sz val="10"/>
      <color theme="1"/>
      <name val="Arial"/>
      <family val="2"/>
    </font>
    <font>
      <b/>
      <sz val="9"/>
      <color rgb="FF8FB0FF"/>
      <name val="Arial"/>
      <family val="2"/>
    </font>
    <font>
      <b/>
      <sz val="10"/>
      <color rgb="FFFFFFFF"/>
      <name val="Arial"/>
      <family val="2"/>
    </font>
    <font>
      <b/>
      <sz val="20"/>
      <color rgb="FFFFFFFF"/>
      <name val="Arial"/>
      <family val="2"/>
    </font>
    <font>
      <sz val="9"/>
      <color rgb="FFB7C4DB"/>
      <name val="Arial"/>
      <family val="2"/>
    </font>
    <font>
      <sz val="9"/>
      <color rgb="FF8FB0FF"/>
      <name val="Arial"/>
      <family val="2"/>
    </font>
    <font>
      <b/>
      <sz val="9"/>
      <color rgb="FF1B4DD6"/>
      <name val="Arial"/>
      <family val="2"/>
    </font>
    <font>
      <b/>
      <sz val="10"/>
      <color rgb="FF0B1B33"/>
      <name val="Arial"/>
      <family val="2"/>
    </font>
    <font>
      <b/>
      <sz val="12"/>
      <color rgb="FF133BA8"/>
      <name val="Arial"/>
      <family val="2"/>
    </font>
    <font>
      <i/>
      <sz val="9"/>
      <color rgb="FF4A5A73"/>
      <name val="Arial"/>
      <family val="2"/>
    </font>
    <font>
      <b/>
      <sz val="10"/>
      <color rgb="FF4A5A73"/>
      <name val="Arial"/>
      <family val="2"/>
    </font>
    <font>
      <b/>
      <sz val="14"/>
      <color rgb="FF133BA8"/>
      <name val="Arial"/>
      <family val="2"/>
    </font>
    <font>
      <sz val="10"/>
      <color rgb="FF0B1B33"/>
      <name val="Arial"/>
      <family val="2"/>
    </font>
    <font>
      <b/>
      <sz val="8.5"/>
      <color rgb="FF4A5A73"/>
      <name val="Arial"/>
      <family val="2"/>
    </font>
    <font>
      <b/>
      <sz val="20"/>
      <color rgb="FF1B4DD6"/>
      <name val="Arial"/>
      <family val="2"/>
    </font>
    <font>
      <sz val="8.5"/>
      <color rgb="FF4A5A73"/>
      <name val="Arial"/>
      <family val="2"/>
    </font>
    <font>
      <b/>
      <sz val="9.5"/>
      <color rgb="FF4A5A73"/>
      <name val="Arial"/>
      <family val="2"/>
    </font>
    <font>
      <b/>
      <sz val="8.5"/>
      <color rgb="FF0B1B33"/>
      <name val="Arial"/>
      <family val="2"/>
    </font>
    <font>
      <b/>
      <sz val="8.5"/>
      <color rgb="FF133BA8"/>
      <name val="Arial"/>
      <family val="2"/>
    </font>
    <font>
      <b/>
      <sz val="11"/>
      <color rgb="FF0B1B33"/>
      <name val="Arial"/>
      <family val="2"/>
    </font>
    <font>
      <b/>
      <sz val="8.5"/>
      <color rgb="FFFFFFFF"/>
      <name val="Arial"/>
      <family val="2"/>
    </font>
    <font>
      <b/>
      <sz val="10"/>
      <color rgb="FF0B1B33"/>
      <name val="Arial"/>
      <family val="2"/>
    </font>
    <font>
      <sz val="10"/>
      <color rgb="FF0B1B33"/>
      <name val="Arial"/>
      <family val="2"/>
    </font>
    <font>
      <b/>
      <i/>
      <sz val="10"/>
      <color rgb="FF0B1B33"/>
      <name val="Arial"/>
      <family val="2"/>
    </font>
    <font>
      <i/>
      <sz val="10"/>
      <color rgb="FF0B1B33"/>
      <name val="Arial"/>
      <family val="2"/>
    </font>
    <font>
      <i/>
      <sz val="8"/>
      <color rgb="FF4A5A73"/>
      <name val="Arial"/>
      <family val="2"/>
    </font>
    <font>
      <b/>
      <sz val="8"/>
      <color rgb="FF133BA8"/>
      <name val="Arial"/>
      <family val="2"/>
    </font>
    <font>
      <b/>
      <sz val="16"/>
      <color rgb="FF0B1B33"/>
      <name val="Arial"/>
      <family val="2"/>
    </font>
    <font>
      <b/>
      <sz val="10"/>
      <color rgb="FF1B4DD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B1B33"/>
        <bgColor indexed="64"/>
      </patternFill>
    </fill>
    <fill>
      <patternFill patternType="solid">
        <fgColor rgb="FFE7EEFF"/>
        <bgColor indexed="64"/>
      </patternFill>
    </fill>
    <fill>
      <patternFill patternType="solid">
        <fgColor rgb="FFF4F6F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1B4DD6"/>
      </left>
      <right style="medium">
        <color rgb="FF1B4DD6"/>
      </right>
      <top style="medium">
        <color rgb="FF1B4DD6"/>
      </top>
      <bottom style="medium">
        <color rgb="FF1B4DD6"/>
      </bottom>
      <diagonal/>
    </border>
    <border>
      <left style="thin">
        <color rgb="FFE3E8F0"/>
      </left>
      <right style="thin">
        <color rgb="FFE3E8F0"/>
      </right>
      <top style="thin">
        <color rgb="FFE3E8F0"/>
      </top>
      <bottom/>
      <diagonal/>
    </border>
    <border>
      <left style="thin">
        <color rgb="FFE3E8F0"/>
      </left>
      <right style="thin">
        <color rgb="FFE3E8F0"/>
      </right>
      <top/>
      <bottom/>
      <diagonal/>
    </border>
    <border>
      <left style="thin">
        <color rgb="FFE3E8F0"/>
      </left>
      <right/>
      <top/>
      <bottom/>
      <diagonal/>
    </border>
    <border>
      <left/>
      <right style="thin">
        <color rgb="FFE3E8F0"/>
      </right>
      <top/>
      <bottom/>
      <diagonal/>
    </border>
    <border>
      <left style="thin">
        <color rgb="FFE3E8F0"/>
      </left>
      <right/>
      <top/>
      <bottom style="thin">
        <color rgb="FFE3E8F0"/>
      </bottom>
      <diagonal/>
    </border>
    <border>
      <left/>
      <right/>
      <top/>
      <bottom style="thin">
        <color rgb="FFE3E8F0"/>
      </bottom>
      <diagonal/>
    </border>
    <border>
      <left/>
      <right style="thin">
        <color rgb="FFE3E8F0"/>
      </right>
      <top/>
      <bottom style="thin">
        <color rgb="FFE3E8F0"/>
      </bottom>
      <diagonal/>
    </border>
    <border>
      <left style="thin">
        <color rgb="FF0B1B33"/>
      </left>
      <right style="thin">
        <color rgb="FF0B1B33"/>
      </right>
      <top style="thin">
        <color rgb="FF0B1B33"/>
      </top>
      <bottom style="thin">
        <color rgb="FF0B1B33"/>
      </bottom>
      <diagonal/>
    </border>
    <border>
      <left style="thin">
        <color rgb="FFE3E8F0"/>
      </left>
      <right style="thin">
        <color rgb="FFE3E8F0"/>
      </right>
      <top style="thin">
        <color rgb="FFE3E8F0"/>
      </top>
      <bottom style="thin">
        <color rgb="FFE3E8F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3" fillId="4" borderId="2" xfId="0" applyFont="1" applyFill="1" applyBorder="1" applyAlignment="1">
      <alignment vertical="center"/>
    </xf>
    <xf numFmtId="164" fontId="14" fillId="4" borderId="3" xfId="0" applyNumberFormat="1" applyFont="1" applyFill="1" applyBorder="1" applyAlignment="1">
      <alignment horizontal="left" vertical="center" indent="1"/>
    </xf>
    <xf numFmtId="165" fontId="14" fillId="4" borderId="3" xfId="0" applyNumberFormat="1" applyFont="1" applyFill="1" applyBorder="1" applyAlignment="1">
      <alignment horizontal="left" vertical="center" indent="1"/>
    </xf>
    <xf numFmtId="166" fontId="14" fillId="4" borderId="3" xfId="0" applyNumberFormat="1" applyFont="1" applyFill="1" applyBorder="1" applyAlignment="1">
      <alignment horizontal="left" vertical="center" indent="1"/>
    </xf>
    <xf numFmtId="0" fontId="15" fillId="4" borderId="3" xfId="0" applyFont="1" applyFill="1" applyBorder="1" applyAlignment="1">
      <alignment horizontal="left" vertical="center" indent="1"/>
    </xf>
    <xf numFmtId="167" fontId="16" fillId="4" borderId="4" xfId="0" applyNumberFormat="1" applyFont="1" applyFill="1" applyBorder="1" applyAlignment="1">
      <alignment horizontal="left" vertical="center" indent="1"/>
    </xf>
    <xf numFmtId="0" fontId="15" fillId="4" borderId="5" xfId="0" applyFont="1" applyFill="1" applyBorder="1" applyAlignment="1">
      <alignment horizontal="right" vertical="center"/>
    </xf>
    <xf numFmtId="168" fontId="16" fillId="4" borderId="4" xfId="0" applyNumberFormat="1" applyFont="1" applyFill="1" applyBorder="1" applyAlignment="1">
      <alignment horizontal="left" vertical="center" indent="1"/>
    </xf>
    <xf numFmtId="0" fontId="15" fillId="4" borderId="6" xfId="0" applyFont="1" applyFill="1" applyBorder="1" applyAlignment="1">
      <alignment horizontal="left" vertical="center" indent="1"/>
    </xf>
    <xf numFmtId="164" fontId="17" fillId="4" borderId="7" xfId="0" applyNumberFormat="1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right" vertical="center"/>
    </xf>
    <xf numFmtId="165" fontId="17" fillId="4" borderId="7" xfId="0" applyNumberFormat="1" applyFont="1" applyFill="1" applyBorder="1" applyAlignment="1">
      <alignment horizontal="left" vertical="center"/>
    </xf>
    <xf numFmtId="166" fontId="17" fillId="4" borderId="7" xfId="0" applyNumberFormat="1" applyFont="1" applyFill="1" applyBorder="1" applyAlignment="1">
      <alignment horizontal="left" vertical="center"/>
    </xf>
    <xf numFmtId="169" fontId="14" fillId="4" borderId="3" xfId="0" applyNumberFormat="1" applyFont="1" applyFill="1" applyBorder="1" applyAlignment="1">
      <alignment horizontal="left" vertical="center" indent="1"/>
    </xf>
    <xf numFmtId="170" fontId="16" fillId="4" borderId="4" xfId="0" applyNumberFormat="1" applyFont="1" applyFill="1" applyBorder="1" applyAlignment="1">
      <alignment horizontal="left" vertical="center" indent="1"/>
    </xf>
    <xf numFmtId="169" fontId="17" fillId="4" borderId="7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9" fillId="5" borderId="2" xfId="0" applyFont="1" applyFill="1" applyBorder="1" applyAlignment="1">
      <alignment horizontal="left" vertical="center" indent="1"/>
    </xf>
    <xf numFmtId="0" fontId="20" fillId="2" borderId="9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vertical="center"/>
    </xf>
    <xf numFmtId="164" fontId="22" fillId="5" borderId="10" xfId="0" applyNumberFormat="1" applyFont="1" applyFill="1" applyBorder="1" applyAlignment="1">
      <alignment horizontal="center" vertical="center"/>
    </xf>
    <xf numFmtId="165" fontId="22" fillId="5" borderId="10" xfId="0" applyNumberFormat="1" applyFont="1" applyFill="1" applyBorder="1" applyAlignment="1">
      <alignment horizontal="center" vertical="center"/>
    </xf>
    <xf numFmtId="166" fontId="22" fillId="5" borderId="10" xfId="0" applyNumberFormat="1" applyFont="1" applyFill="1" applyBorder="1" applyAlignment="1">
      <alignment horizontal="center" vertical="center"/>
    </xf>
    <xf numFmtId="169" fontId="22" fillId="5" borderId="10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vertical="center"/>
    </xf>
    <xf numFmtId="164" fontId="22" fillId="4" borderId="10" xfId="0" applyNumberFormat="1" applyFont="1" applyFill="1" applyBorder="1" applyAlignment="1">
      <alignment horizontal="center" vertical="center"/>
    </xf>
    <xf numFmtId="165" fontId="22" fillId="4" borderId="10" xfId="0" applyNumberFormat="1" applyFont="1" applyFill="1" applyBorder="1" applyAlignment="1">
      <alignment horizontal="center" vertical="center"/>
    </xf>
    <xf numFmtId="166" fontId="22" fillId="4" borderId="10" xfId="0" applyNumberFormat="1" applyFont="1" applyFill="1" applyBorder="1" applyAlignment="1">
      <alignment horizontal="center" vertical="center"/>
    </xf>
    <xf numFmtId="169" fontId="22" fillId="4" borderId="10" xfId="0" applyNumberFormat="1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vertical="center"/>
    </xf>
    <xf numFmtId="164" fontId="24" fillId="3" borderId="10" xfId="0" applyNumberFormat="1" applyFont="1" applyFill="1" applyBorder="1" applyAlignment="1">
      <alignment horizontal="center" vertical="center"/>
    </xf>
    <xf numFmtId="165" fontId="24" fillId="3" borderId="10" xfId="0" applyNumberFormat="1" applyFont="1" applyFill="1" applyBorder="1" applyAlignment="1">
      <alignment horizontal="center" vertical="center"/>
    </xf>
    <xf numFmtId="166" fontId="24" fillId="3" borderId="10" xfId="0" applyNumberFormat="1" applyFont="1" applyFill="1" applyBorder="1" applyAlignment="1">
      <alignment horizontal="center" vertical="center"/>
    </xf>
    <xf numFmtId="169" fontId="24" fillId="3" borderId="1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171" fontId="12" fillId="0" borderId="1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4" borderId="10" xfId="0" applyFont="1" applyFill="1" applyBorder="1" applyAlignment="1">
      <alignment vertical="top"/>
    </xf>
    <xf numFmtId="0" fontId="12" fillId="0" borderId="10" xfId="0" applyFont="1" applyBorder="1" applyAlignment="1">
      <alignment vertical="top" wrapText="1"/>
    </xf>
  </cellXfs>
  <cellStyles count="1">
    <cellStyle name="Normal" xfId="0" builtinId="0"/>
  </cellStyles>
  <dxfs count="4">
    <dxf>
      <font>
        <color rgb="FF0B6357"/>
      </font>
    </dxf>
    <dxf>
      <font>
        <color rgb="FF9B1C2B"/>
      </font>
    </dxf>
    <dxf>
      <font>
        <b/>
        <color rgb="FF133BA8"/>
      </font>
      <fill>
        <patternFill>
          <bgColor rgb="FFC9D8FF"/>
        </patternFill>
      </fill>
    </dxf>
    <dxf>
      <font>
        <b/>
        <color rgb="FF0B6357"/>
      </font>
      <fill>
        <patternFill>
          <bgColor rgb="FFE3F4F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lineChart>
        <c:grouping val="standard"/>
        <c:ser>
          <c:idx val="0"/>
          <c:order val="0"/>
          <c:tx>
            <c:strRef>
              <c:f>Calculs!$B$19</c:f>
              <c:strCache>
                <c:ptCount val="1"/>
                <c:pt idx="0">
                  <c:v>0</c:v>
                </c:pt>
              </c:strCache>
            </c:strRef>
          </c:tx>
          <c:spPr>
            <a:ln w="34925">
              <a:solidFill>
                <a:srgbClr val="1B4DD6"/>
              </a:solidFill>
            </a:ln>
          </c:spPr>
          <c:marker>
            <c:symbol val="none"/>
          </c:marker>
          <c:cat>
            <c:numRef>
              <c:f>Calculs!$A$24:$A$49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Calculs!$B$24:$B$49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"/>
          <c:order val="1"/>
          <c:tx>
            <c:strRef>
              <c:f>Calculs!$B$20</c:f>
              <c:strCache>
                <c:ptCount val="1"/>
                <c:pt idx="0">
                  <c:v>0</c:v>
                </c:pt>
              </c:strCache>
            </c:strRef>
          </c:tx>
          <c:spPr>
            <a:ln w="28575">
              <a:solidFill>
                <a:srgbClr val="0B6357"/>
              </a:solidFill>
            </a:ln>
          </c:spPr>
          <c:marker>
            <c:symbol val="none"/>
          </c:marker>
          <c:cat>
            <c:numRef>
              <c:f>Calculs!$A$24:$A$49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Calculs!$C$24:$C$49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v>Moyenne UEMOA</c:v>
          </c:tx>
          <c:spPr>
            <a:ln w="22225">
              <a:solidFill>
                <a:srgbClr val="9AA6B8"/>
              </a:solidFill>
              <a:prstDash val="dash"/>
            </a:ln>
          </c:spPr>
          <c:marker>
            <c:symbol val="none"/>
          </c:marker>
          <c:cat>
            <c:numRef>
              <c:f>Calculs!$A$24:$A$49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Calculs!$D$24:$D$49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numFmt formatCode="General" sourceLinked="1"/>
        <c:majorTickMark val="none"/>
        <c:tickLblPos val="nextTo"/>
        <c:spPr>
          <a:ln>
            <a:solidFill>
              <a:srgbClr val="E3E8F0"/>
            </a:solidFill>
          </a:ln>
        </c:spPr>
        <c:txPr>
          <a:bodyPr/>
          <a:lstStyle/>
          <a:p>
            <a:pPr>
              <a:defRPr sz="800" baseline="0">
                <a:solidFill>
                  <a:srgbClr val="4A5A73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5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8F0"/>
              </a:solidFill>
            </a:ln>
          </c:spPr>
        </c:majorGridlines>
        <c:numFmt formatCode="General" sourceLinked="1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A5A73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solidFill>
                <a:srgbClr val="0B1B33"/>
              </a:solidFill>
              <a:latin typeface="Arial"/>
            </a:defRPr>
          </a:pPr>
          <a:endParaRPr lang="en-US"/>
        </a:p>
      </c:txPr>
    </c:legend>
    <c:plotVisOnly val="1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>
      <a:solidFill>
        <a:srgbClr val="E3E8F0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bar"/>
        <c:grouping val="stacked"/>
        <c:ser>
          <c:idx val="0"/>
          <c:order val="0"/>
          <c:tx>
            <c:v>Pays choisi</c:v>
          </c:tx>
          <c:spPr>
            <a:solidFill>
              <a:srgbClr val="1B4DD6"/>
            </a:solidFill>
            <a:ln>
              <a:noFill/>
            </a:ln>
          </c:spPr>
          <c:dLbls>
            <c:numFmt formatCode="#,##0.0" sourceLinked="0"/>
            <c:txPr>
              <a:bodyPr/>
              <a:lstStyle/>
              <a:p>
                <a:pPr>
                  <a:defRPr sz="800" baseline="0">
                    <a:solidFill>
                      <a:srgbClr val="0B1B33"/>
                    </a:solidFill>
                    <a:latin typeface="Arial"/>
                  </a:defRPr>
                </a:pPr>
                <a:endParaRPr lang="en-US"/>
              </a:p>
            </c:txPr>
            <c:showVal val="1"/>
          </c:dLbls>
          <c:cat>
            <c:strRef>
              <c:f>Calculs!$A$52:$A$59</c:f>
              <c:strCache>
                <c:ptCount val="8"/>
                <c:pt idx="0">
                  <c:v>Bénin</c:v>
                </c:pt>
                <c:pt idx="1">
                  <c:v>Burkina Faso</c:v>
                </c:pt>
                <c:pt idx="2">
                  <c:v>Côte d'Ivoire</c:v>
                </c:pt>
                <c:pt idx="3">
                  <c:v>Guinée-Bissau</c:v>
                </c:pt>
                <c:pt idx="4">
                  <c:v>Mali</c:v>
                </c:pt>
                <c:pt idx="5">
                  <c:v>Niger</c:v>
                </c:pt>
                <c:pt idx="6">
                  <c:v>Sénégal</c:v>
                </c:pt>
                <c:pt idx="7">
                  <c:v>Togo</c:v>
                </c:pt>
              </c:strCache>
            </c:strRef>
          </c:cat>
          <c:val>
            <c:numRef>
              <c:f>Calculs!$B$52:$B$59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v>Autres pays</c:v>
          </c:tx>
          <c:spPr>
            <a:solidFill>
              <a:srgbClr val="C9D2E0"/>
            </a:solidFill>
            <a:ln>
              <a:noFill/>
            </a:ln>
          </c:spPr>
          <c:dLbls>
            <c:numFmt formatCode="#,##0.0" sourceLinked="0"/>
            <c:txPr>
              <a:bodyPr/>
              <a:lstStyle/>
              <a:p>
                <a:pPr>
                  <a:defRPr sz="800" baseline="0">
                    <a:solidFill>
                      <a:srgbClr val="0B1B33"/>
                    </a:solidFill>
                    <a:latin typeface="Arial"/>
                  </a:defRPr>
                </a:pPr>
                <a:endParaRPr lang="en-US"/>
              </a:p>
            </c:txPr>
            <c:showVal val="1"/>
          </c:dLbls>
          <c:cat>
            <c:strRef>
              <c:f>Calculs!$A$52:$A$59</c:f>
              <c:strCache>
                <c:ptCount val="8"/>
                <c:pt idx="0">
                  <c:v>Bénin</c:v>
                </c:pt>
                <c:pt idx="1">
                  <c:v>Burkina Faso</c:v>
                </c:pt>
                <c:pt idx="2">
                  <c:v>Côte d'Ivoire</c:v>
                </c:pt>
                <c:pt idx="3">
                  <c:v>Guinée-Bissau</c:v>
                </c:pt>
                <c:pt idx="4">
                  <c:v>Mali</c:v>
                </c:pt>
                <c:pt idx="5">
                  <c:v>Niger</c:v>
                </c:pt>
                <c:pt idx="6">
                  <c:v>Sénégal</c:v>
                </c:pt>
                <c:pt idx="7">
                  <c:v>Togo</c:v>
                </c:pt>
              </c:strCache>
            </c:strRef>
          </c:cat>
          <c:val>
            <c:numRef>
              <c:f>Calculs!$C$52:$C$59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60"/>
        <c:overlap val="10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3E8F0"/>
            </a:solidFill>
          </a:ln>
        </c:spPr>
        <c:txPr>
          <a:bodyPr/>
          <a:lstStyle/>
          <a:p>
            <a:pPr>
              <a:defRPr sz="900" baseline="0">
                <a:solidFill>
                  <a:srgbClr val="0B1B33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>
              <a:solidFill>
                <a:srgbClr val="E3E8F0"/>
              </a:solidFill>
            </a:ln>
          </c:spPr>
        </c:majorGridlines>
        <c:numFmt formatCode="General" sourceLinked="1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A5A73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</c:plotArea>
    <c:plotVisOnly val="1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>
      <a:solidFill>
        <a:srgbClr val="E3E8F0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7</xdr:col>
      <xdr:colOff>885825</xdr:colOff>
      <xdr:row>47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30</xdr:row>
      <xdr:rowOff>0</xdr:rowOff>
    </xdr:from>
    <xdr:to>
      <xdr:col>15</xdr:col>
      <xdr:colOff>885825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2"/>
  <sheetViews>
    <sheetView showGridLines="0" tabSelected="1" zoomScale="90" zoomScaleNormal="90" workbookViewId="0"/>
  </sheetViews>
  <sheetFormatPr defaultRowHeight="15"/>
  <cols>
    <col min="1" max="1" width="3.28515625" customWidth="1"/>
    <col min="2" max="4" width="14.28515625" customWidth="1"/>
    <col min="5" max="5" width="3.28515625" customWidth="1"/>
    <col min="6" max="8" width="14.28515625" customWidth="1"/>
    <col min="9" max="9" width="3.28515625" customWidth="1"/>
    <col min="10" max="12" width="14.28515625" customWidth="1"/>
    <col min="13" max="13" width="3.28515625" customWidth="1"/>
    <col min="14" max="16" width="14.28515625" customWidth="1"/>
    <col min="17" max="17" width="3.28515625" customWidth="1"/>
  </cols>
  <sheetData>
    <row r="2" spans="2:16" ht="22" customHeight="1">
      <c r="B2" s="1" t="s">
        <v>137</v>
      </c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140</v>
      </c>
      <c r="N2" s="2"/>
      <c r="O2" s="2"/>
      <c r="P2" s="2"/>
    </row>
    <row r="3" spans="2:16" ht="30" customHeight="1">
      <c r="B3" s="3" t="s">
        <v>138</v>
      </c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141</v>
      </c>
      <c r="N3" s="4"/>
      <c r="O3" s="4"/>
      <c r="P3" s="4"/>
    </row>
    <row r="4" spans="2:16" ht="22" customHeight="1">
      <c r="B4" s="5" t="s">
        <v>139</v>
      </c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142</v>
      </c>
      <c r="N4" s="6"/>
      <c r="O4" s="6"/>
      <c r="P4" s="6"/>
    </row>
    <row r="6" spans="2:16">
      <c r="B6" s="7" t="s">
        <v>143</v>
      </c>
    </row>
    <row r="7" spans="2:16" ht="30" customHeight="1">
      <c r="B7" s="8" t="s">
        <v>144</v>
      </c>
      <c r="C7" s="8"/>
      <c r="D7" s="9" t="s">
        <v>10</v>
      </c>
      <c r="E7" s="9"/>
      <c r="F7" s="9"/>
      <c r="G7" s="9"/>
      <c r="H7" s="9"/>
      <c r="J7" s="8" t="s">
        <v>145</v>
      </c>
      <c r="K7" s="8"/>
      <c r="L7" s="9" t="s">
        <v>27</v>
      </c>
      <c r="M7" s="9"/>
      <c r="N7" s="9"/>
      <c r="O7" s="9"/>
      <c r="P7" s="9"/>
    </row>
    <row r="8" spans="2:16">
      <c r="B8" s="10" t="s">
        <v>146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10" spans="2:16" ht="30" customHeight="1">
      <c r="B10" s="11" t="s">
        <v>147</v>
      </c>
      <c r="C10" s="12">
        <f>'Tableau de bord'!$D$7</f>
        <v>0</v>
      </c>
      <c r="D10" s="13"/>
      <c r="E10" s="13"/>
      <c r="F10" s="13"/>
      <c r="G10" s="13"/>
      <c r="H10" s="13"/>
      <c r="I10" s="14" t="s">
        <v>148</v>
      </c>
      <c r="J10" s="14"/>
      <c r="K10" s="14"/>
      <c r="L10" s="14"/>
      <c r="M10" s="14"/>
      <c r="N10" s="14"/>
      <c r="O10" s="14"/>
      <c r="P10" s="14"/>
    </row>
    <row r="12" spans="2:16" ht="20" customHeight="1">
      <c r="B12" s="15" t="s">
        <v>149</v>
      </c>
      <c r="C12" s="15"/>
      <c r="D12" s="15"/>
      <c r="F12" s="15" t="s">
        <v>152</v>
      </c>
      <c r="G12" s="15"/>
      <c r="H12" s="15"/>
      <c r="J12" s="15" t="s">
        <v>153</v>
      </c>
      <c r="K12" s="15"/>
      <c r="L12" s="15"/>
      <c r="N12" s="15" t="s">
        <v>155</v>
      </c>
      <c r="O12" s="15"/>
      <c r="P12" s="15"/>
    </row>
    <row r="13" spans="2:16" ht="34" customHeight="1">
      <c r="B13" s="16">
        <f>IFERROR(INDEX('Données'!$AF$2:$AF$73,MATCH("growth|"&amp;Calculs!$B$13,'Données'!$A$2:$A$73,0)),"n.d.")</f>
        <v>0</v>
      </c>
      <c r="C13" s="16"/>
      <c r="D13" s="16"/>
      <c r="F13" s="17">
        <f>IFERROR(INDEX('Données'!$AF$2:$AF$73,MATCH("gdpPerCapita|"&amp;Calculs!$B$13,'Données'!$A$2:$A$73,0)),"n.d.")</f>
        <v>0</v>
      </c>
      <c r="G13" s="17"/>
      <c r="H13" s="17"/>
      <c r="J13" s="16">
        <f>IFERROR(INDEX('Données'!$AF$2:$AF$73,MATCH("inflation|"&amp;Calculs!$B$13,'Données'!$A$2:$A$73,0)),"n.d.")</f>
        <v>0</v>
      </c>
      <c r="K13" s="16"/>
      <c r="L13" s="16"/>
      <c r="N13" s="18">
        <f>IFERROR(INDEX('Données'!$AF$2:$AF$73,MATCH("population|"&amp;Calculs!$B$13,'Données'!$A$2:$A$73,0)),"n.d.")</f>
        <v>0</v>
      </c>
      <c r="O13" s="18"/>
      <c r="P13" s="18"/>
    </row>
    <row r="14" spans="2:16" ht="17" customHeight="1">
      <c r="B14" s="19">
        <f>IFERROR("% par an · "&amp;INDEX('Données'!$AE$2:$AE$73,MATCH("growth|"&amp;Calculs!$B$13,'Données'!$A$2:$A$73,0)),"% par an")</f>
        <v>0</v>
      </c>
      <c r="C14" s="19"/>
      <c r="D14" s="19"/>
      <c r="F14" s="19">
        <f>IFERROR("dollars courants · "&amp;INDEX('Données'!$AE$2:$AE$73,MATCH("gdpPerCapita|"&amp;Calculs!$B$13,'Données'!$A$2:$A$73,0)),"dollars courants")</f>
        <v>0</v>
      </c>
      <c r="G14" s="19"/>
      <c r="H14" s="19"/>
      <c r="J14" s="19">
        <f>IFERROR("% par an, prix à la consommation · "&amp;INDEX('Données'!$AE$2:$AE$73,MATCH("inflation|"&amp;Calculs!$B$13,'Données'!$A$2:$A$73,0)),"% par an, prix à la consommation")</f>
        <v>0</v>
      </c>
      <c r="K14" s="19"/>
      <c r="L14" s="19"/>
      <c r="N14" s="19">
        <f>IFERROR("millions d'habitants · "&amp;INDEX('Données'!$AE$2:$AE$73,MATCH("population|"&amp;Calculs!$B$13,'Données'!$A$2:$A$73,0)),"millions d'habitants")</f>
        <v>0</v>
      </c>
      <c r="O14" s="19"/>
      <c r="P14" s="19"/>
    </row>
    <row r="15" spans="2:16" ht="17" customHeight="1">
      <c r="B15" s="20">
        <f>IFERROR(INDEX('Données'!$AG$2:$AG$73,MATCH("growth|"&amp;Calculs!$B$13,'Données'!$A$2:$A$73,0))*1,"")</f>
        <v>0</v>
      </c>
      <c r="C15" s="20"/>
      <c r="D15" s="21" t="s">
        <v>150</v>
      </c>
      <c r="F15" s="22">
        <f>IFERROR(INDEX('Données'!$AG$2:$AG$73,MATCH("gdpPerCapita|"&amp;Calculs!$B$13,'Données'!$A$2:$A$73,0))*1,"")</f>
        <v>0</v>
      </c>
      <c r="G15" s="22"/>
      <c r="H15" s="21" t="s">
        <v>150</v>
      </c>
      <c r="J15" s="20">
        <f>IFERROR(INDEX('Données'!$AG$2:$AG$73,MATCH("inflation|"&amp;Calculs!$B$13,'Données'!$A$2:$A$73,0))*1,"")</f>
        <v>0</v>
      </c>
      <c r="K15" s="20"/>
      <c r="L15" s="21" t="s">
        <v>150</v>
      </c>
      <c r="N15" s="22">
        <f>IFERROR(INDEX('Données'!$AG$2:$AG$73,MATCH("population|"&amp;Calculs!$B$13,'Données'!$A$2:$A$73,0))*1,"")</f>
        <v>0</v>
      </c>
      <c r="O15" s="22"/>
      <c r="P15" s="21" t="s">
        <v>150</v>
      </c>
    </row>
    <row r="16" spans="2:16" ht="19" customHeight="1">
      <c r="B16" s="23" t="s">
        <v>151</v>
      </c>
      <c r="C16" s="24">
        <f>IFERROR(INDEX('Données'!$AF$2:$AF$73,MATCH("growth|"&amp;"UEMOA",'Données'!$A$2:$A$73,0)),"")</f>
        <v>0</v>
      </c>
      <c r="D16" s="25">
        <f>IFERROR(IF(INDEX('Données'!$AH$2:$AH$73,MATCH("growth|"&amp;Calculs!$B$13,'Données'!$A$2:$A$73,0))="","",INDEX('Données'!$AH$2:$AH$73,MATCH("growth|"&amp;Calculs!$B$13,'Données'!$A$2:$A$73,0))&amp;IF(INDEX('Données'!$AH$2:$AH$73,MATCH("growth|"&amp;Calculs!$B$13,'Données'!$A$2:$A$73,0))=1,"er","e")&amp;" sur 8"),"")</f>
        <v>0</v>
      </c>
      <c r="F16" s="23" t="s">
        <v>151</v>
      </c>
      <c r="G16" s="26">
        <f>IFERROR(INDEX('Données'!$AF$2:$AF$73,MATCH("gdpPerCapita|"&amp;"UEMOA",'Données'!$A$2:$A$73,0)),"")</f>
        <v>0</v>
      </c>
      <c r="H16" s="25">
        <f>IFERROR(IF(INDEX('Données'!$AH$2:$AH$73,MATCH("gdpPerCapita|"&amp;Calculs!$B$13,'Données'!$A$2:$A$73,0))="","",INDEX('Données'!$AH$2:$AH$73,MATCH("gdpPerCapita|"&amp;Calculs!$B$13,'Données'!$A$2:$A$73,0))&amp;IF(INDEX('Données'!$AH$2:$AH$73,MATCH("gdpPerCapita|"&amp;Calculs!$B$13,'Données'!$A$2:$A$73,0))=1,"er","e")&amp;" sur 8"),"")</f>
        <v>0</v>
      </c>
      <c r="J16" s="23" t="s">
        <v>151</v>
      </c>
      <c r="K16" s="24">
        <f>IFERROR(INDEX('Données'!$AF$2:$AF$73,MATCH("inflation|"&amp;"UEMOA",'Données'!$A$2:$A$73,0)),"")</f>
        <v>0</v>
      </c>
      <c r="L16" s="25" t="s">
        <v>154</v>
      </c>
      <c r="N16" s="23" t="s">
        <v>151</v>
      </c>
      <c r="O16" s="27">
        <f>IFERROR(INDEX('Données'!$AF$2:$AF$73,MATCH("population|"&amp;"UEMOA",'Données'!$A$2:$A$73,0)),"")</f>
        <v>0</v>
      </c>
      <c r="P16" s="25">
        <f>IFERROR(IF(INDEX('Données'!$AH$2:$AH$73,MATCH("population|"&amp;Calculs!$B$13,'Données'!$A$2:$A$73,0))="","",INDEX('Données'!$AH$2:$AH$73,MATCH("population|"&amp;Calculs!$B$13,'Données'!$A$2:$A$73,0))&amp;IF(INDEX('Données'!$AH$2:$AH$73,MATCH("population|"&amp;Calculs!$B$13,'Données'!$A$2:$A$73,0))=1,"er","e")&amp;" sur 8"),"")</f>
        <v>0</v>
      </c>
    </row>
    <row r="19" spans="2:16" ht="20" customHeight="1">
      <c r="B19" s="15" t="s">
        <v>156</v>
      </c>
      <c r="C19" s="15"/>
      <c r="D19" s="15"/>
      <c r="F19" s="15" t="s">
        <v>157</v>
      </c>
      <c r="G19" s="15"/>
      <c r="H19" s="15"/>
      <c r="J19" s="15" t="s">
        <v>158</v>
      </c>
      <c r="K19" s="15"/>
      <c r="L19" s="15"/>
      <c r="N19" s="15" t="s">
        <v>159</v>
      </c>
      <c r="O19" s="15"/>
      <c r="P19" s="15"/>
    </row>
    <row r="20" spans="2:16" ht="34" customHeight="1">
      <c r="B20" s="16">
        <f>IFERROR(INDEX('Données'!$AF$2:$AF$73,MATCH("urban|"&amp;Calculs!$B$13,'Données'!$A$2:$A$73,0)),"n.d.")</f>
        <v>0</v>
      </c>
      <c r="C20" s="16"/>
      <c r="D20" s="16"/>
      <c r="F20" s="16">
        <f>IFERROR(INDEX('Données'!$AF$2:$AF$73,MATCH("electricity|"&amp;Calculs!$B$13,'Données'!$A$2:$A$73,0)),"n.d.")</f>
        <v>0</v>
      </c>
      <c r="G20" s="16"/>
      <c r="H20" s="16"/>
      <c r="J20" s="16">
        <f>IFERROR(INDEX('Données'!$AF$2:$AF$73,MATCH("internet|"&amp;Calculs!$B$13,'Données'!$A$2:$A$73,0)),"n.d.")</f>
        <v>0</v>
      </c>
      <c r="K20" s="16"/>
      <c r="L20" s="16"/>
      <c r="N20" s="28">
        <f>IFERROR(INDEX('Données'!$AF$2:$AF$73,MATCH("lifeExpectancy|"&amp;Calculs!$B$13,'Données'!$A$2:$A$73,0)),"n.d.")</f>
        <v>0</v>
      </c>
      <c r="O20" s="28"/>
      <c r="P20" s="28"/>
    </row>
    <row r="21" spans="2:16" ht="17" customHeight="1">
      <c r="B21" s="19">
        <f>IFERROR("% de la population · "&amp;INDEX('Données'!$AE$2:$AE$73,MATCH("urban|"&amp;Calculs!$B$13,'Données'!$A$2:$A$73,0)),"% de la population")</f>
        <v>0</v>
      </c>
      <c r="C21" s="19"/>
      <c r="D21" s="19"/>
      <c r="F21" s="19">
        <f>IFERROR("% de la population · "&amp;INDEX('Données'!$AE$2:$AE$73,MATCH("electricity|"&amp;Calculs!$B$13,'Données'!$A$2:$A$73,0)),"% de la population")</f>
        <v>0</v>
      </c>
      <c r="G21" s="19"/>
      <c r="H21" s="19"/>
      <c r="J21" s="19">
        <f>IFERROR("% de la population · "&amp;INDEX('Données'!$AE$2:$AE$73,MATCH("internet|"&amp;Calculs!$B$13,'Données'!$A$2:$A$73,0)),"% de la population")</f>
        <v>0</v>
      </c>
      <c r="K21" s="19"/>
      <c r="L21" s="19"/>
      <c r="N21" s="19">
        <f>IFERROR("années, à la naissance · "&amp;INDEX('Données'!$AE$2:$AE$73,MATCH("lifeExpectancy|"&amp;Calculs!$B$13,'Données'!$A$2:$A$73,0)),"années, à la naissance")</f>
        <v>0</v>
      </c>
      <c r="O21" s="19"/>
      <c r="P21" s="19"/>
    </row>
    <row r="22" spans="2:16" ht="17" customHeight="1">
      <c r="B22" s="20">
        <f>IFERROR(INDEX('Données'!$AG$2:$AG$73,MATCH("urban|"&amp;Calculs!$B$13,'Données'!$A$2:$A$73,0))*1,"")</f>
        <v>0</v>
      </c>
      <c r="C22" s="20"/>
      <c r="D22" s="21" t="s">
        <v>150</v>
      </c>
      <c r="F22" s="20">
        <f>IFERROR(INDEX('Données'!$AG$2:$AG$73,MATCH("electricity|"&amp;Calculs!$B$13,'Données'!$A$2:$A$73,0))*1,"")</f>
        <v>0</v>
      </c>
      <c r="G22" s="20"/>
      <c r="H22" s="21" t="s">
        <v>150</v>
      </c>
      <c r="J22" s="20">
        <f>IFERROR(INDEX('Données'!$AG$2:$AG$73,MATCH("internet|"&amp;Calculs!$B$13,'Données'!$A$2:$A$73,0))*1,"")</f>
        <v>0</v>
      </c>
      <c r="K22" s="20"/>
      <c r="L22" s="21" t="s">
        <v>150</v>
      </c>
      <c r="N22" s="29">
        <f>IFERROR(INDEX('Données'!$AG$2:$AG$73,MATCH("lifeExpectancy|"&amp;Calculs!$B$13,'Données'!$A$2:$A$73,0))*1,"")</f>
        <v>0</v>
      </c>
      <c r="O22" s="29"/>
      <c r="P22" s="21" t="s">
        <v>150</v>
      </c>
    </row>
    <row r="23" spans="2:16" ht="19" customHeight="1">
      <c r="B23" s="23" t="s">
        <v>151</v>
      </c>
      <c r="C23" s="24">
        <f>IFERROR(INDEX('Données'!$AF$2:$AF$73,MATCH("urban|"&amp;"UEMOA",'Données'!$A$2:$A$73,0)),"")</f>
        <v>0</v>
      </c>
      <c r="D23" s="25">
        <f>IFERROR(IF(INDEX('Données'!$AH$2:$AH$73,MATCH("urban|"&amp;Calculs!$B$13,'Données'!$A$2:$A$73,0))="","",INDEX('Données'!$AH$2:$AH$73,MATCH("urban|"&amp;Calculs!$B$13,'Données'!$A$2:$A$73,0))&amp;IF(INDEX('Données'!$AH$2:$AH$73,MATCH("urban|"&amp;Calculs!$B$13,'Données'!$A$2:$A$73,0))=1,"er","e")&amp;" sur 8"),"")</f>
        <v>0</v>
      </c>
      <c r="F23" s="23" t="s">
        <v>151</v>
      </c>
      <c r="G23" s="24">
        <f>IFERROR(INDEX('Données'!$AF$2:$AF$73,MATCH("electricity|"&amp;"UEMOA",'Données'!$A$2:$A$73,0)),"")</f>
        <v>0</v>
      </c>
      <c r="H23" s="25">
        <f>IFERROR(IF(INDEX('Données'!$AH$2:$AH$73,MATCH("electricity|"&amp;Calculs!$B$13,'Données'!$A$2:$A$73,0))="","",INDEX('Données'!$AH$2:$AH$73,MATCH("electricity|"&amp;Calculs!$B$13,'Données'!$A$2:$A$73,0))&amp;IF(INDEX('Données'!$AH$2:$AH$73,MATCH("electricity|"&amp;Calculs!$B$13,'Données'!$A$2:$A$73,0))=1,"er","e")&amp;" sur 8"),"")</f>
        <v>0</v>
      </c>
      <c r="J23" s="23" t="s">
        <v>151</v>
      </c>
      <c r="K23" s="24">
        <f>IFERROR(INDEX('Données'!$AF$2:$AF$73,MATCH("internet|"&amp;"UEMOA",'Données'!$A$2:$A$73,0)),"")</f>
        <v>0</v>
      </c>
      <c r="L23" s="25">
        <f>IFERROR(IF(INDEX('Données'!$AH$2:$AH$73,MATCH("internet|"&amp;Calculs!$B$13,'Données'!$A$2:$A$73,0))="","",INDEX('Données'!$AH$2:$AH$73,MATCH("internet|"&amp;Calculs!$B$13,'Données'!$A$2:$A$73,0))&amp;IF(INDEX('Données'!$AH$2:$AH$73,MATCH("internet|"&amp;Calculs!$B$13,'Données'!$A$2:$A$73,0))=1,"er","e")&amp;" sur 8"),"")</f>
        <v>0</v>
      </c>
      <c r="N23" s="23" t="s">
        <v>151</v>
      </c>
      <c r="O23" s="30">
        <f>IFERROR(INDEX('Données'!$AF$2:$AF$73,MATCH("lifeExpectancy|"&amp;"UEMOA",'Données'!$A$2:$A$73,0)),"")</f>
        <v>0</v>
      </c>
      <c r="P23" s="25">
        <f>IFERROR(IF(INDEX('Données'!$AH$2:$AH$73,MATCH("lifeExpectancy|"&amp;Calculs!$B$13,'Données'!$A$2:$A$73,0))="","",INDEX('Données'!$AH$2:$AH$73,MATCH("lifeExpectancy|"&amp;Calculs!$B$13,'Données'!$A$2:$A$73,0))&amp;IF(INDEX('Données'!$AH$2:$AH$73,MATCH("lifeExpectancy|"&amp;Calculs!$B$13,'Données'!$A$2:$A$73,0))=1,"er","e")&amp;" sur 8"),"")</f>
        <v>0</v>
      </c>
    </row>
    <row r="26" spans="2:16">
      <c r="B26" s="7" t="s">
        <v>160</v>
      </c>
    </row>
    <row r="27" spans="2:16" ht="30" customHeight="1">
      <c r="B27" s="8" t="s">
        <v>161</v>
      </c>
      <c r="C27" s="8"/>
      <c r="D27" s="9" t="s">
        <v>9</v>
      </c>
      <c r="E27" s="9"/>
      <c r="F27" s="9"/>
      <c r="G27" s="9"/>
      <c r="H27" s="9"/>
      <c r="J27" s="31" t="s">
        <v>162</v>
      </c>
      <c r="K27" s="31"/>
      <c r="L27" s="31"/>
      <c r="M27" s="31"/>
      <c r="N27" s="31"/>
      <c r="O27" s="31"/>
      <c r="P27" s="31"/>
    </row>
    <row r="29" spans="2:16" ht="10" customHeight="1"/>
    <row r="30" spans="2:16" ht="24" customHeight="1">
      <c r="B30" s="32">
        <f>Calculs!$B$17</f>
        <v>0</v>
      </c>
      <c r="C30" s="32"/>
      <c r="D30" s="32"/>
      <c r="E30" s="32"/>
      <c r="F30" s="32"/>
      <c r="G30" s="32"/>
      <c r="H30" s="32"/>
      <c r="J30" s="32">
        <f>Calculs!$B$18</f>
        <v>0</v>
      </c>
      <c r="K30" s="32"/>
      <c r="L30" s="32"/>
      <c r="M30" s="32"/>
      <c r="N30" s="32"/>
      <c r="O30" s="32"/>
      <c r="P30" s="32"/>
    </row>
    <row r="49" spans="2:16">
      <c r="B49" s="7" t="s">
        <v>163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ht="30" customHeight="1">
      <c r="B50" s="33" t="s">
        <v>2</v>
      </c>
      <c r="C50" s="33"/>
      <c r="D50" s="33" t="s">
        <v>9</v>
      </c>
      <c r="E50" s="33"/>
      <c r="F50" s="33" t="s">
        <v>29</v>
      </c>
      <c r="G50" s="33" t="s">
        <v>40</v>
      </c>
      <c r="H50" s="33" t="s">
        <v>51</v>
      </c>
      <c r="I50" s="33"/>
      <c r="J50" s="33" t="s">
        <v>62</v>
      </c>
      <c r="K50" s="33" t="s">
        <v>73</v>
      </c>
      <c r="L50" s="33" t="s">
        <v>83</v>
      </c>
      <c r="M50" s="33"/>
      <c r="N50" s="33" t="s">
        <v>93</v>
      </c>
      <c r="O50" s="33"/>
      <c r="P50" s="33"/>
    </row>
    <row r="51" spans="2:16" ht="18" customHeight="1">
      <c r="B51" s="34" t="s">
        <v>10</v>
      </c>
      <c r="C51" s="34"/>
      <c r="D51" s="35">
        <v>8.07408453688336</v>
      </c>
      <c r="E51" s="35"/>
      <c r="F51" s="36">
        <v>1658.27312662991</v>
      </c>
      <c r="G51" s="35">
        <v>1.10155247902978</v>
      </c>
      <c r="H51" s="37">
        <v>14.81446</v>
      </c>
      <c r="I51" s="37"/>
      <c r="J51" s="35">
        <v>53.3620073968188</v>
      </c>
      <c r="K51" s="35">
        <v>59</v>
      </c>
      <c r="L51" s="35">
        <v>33.98379898</v>
      </c>
      <c r="M51" s="35"/>
      <c r="N51" s="38">
        <v>60.961</v>
      </c>
      <c r="O51" s="38"/>
      <c r="P51" s="38"/>
    </row>
    <row r="52" spans="2:16" ht="18" customHeight="1">
      <c r="B52" s="39" t="s">
        <v>13</v>
      </c>
      <c r="C52" s="39"/>
      <c r="D52" s="40">
        <v>5.29461839319283</v>
      </c>
      <c r="E52" s="40"/>
      <c r="F52" s="41">
        <v>1147.57131635601</v>
      </c>
      <c r="G52" s="40">
        <v>-0.586235316330579</v>
      </c>
      <c r="H52" s="42">
        <v>24.07458</v>
      </c>
      <c r="I52" s="42"/>
      <c r="J52" s="40">
        <v>28.9226360719085</v>
      </c>
      <c r="K52" s="40">
        <v>34</v>
      </c>
      <c r="L52" s="40">
        <v>28.25270081</v>
      </c>
      <c r="M52" s="40"/>
      <c r="N52" s="43">
        <v>61.292</v>
      </c>
      <c r="O52" s="43"/>
      <c r="P52" s="43"/>
    </row>
    <row r="53" spans="2:16" ht="18" customHeight="1">
      <c r="B53" s="34" t="s">
        <v>15</v>
      </c>
      <c r="C53" s="34"/>
      <c r="D53" s="35">
        <v>6.4999999999999</v>
      </c>
      <c r="E53" s="35"/>
      <c r="F53" s="36">
        <v>3050.10202257321</v>
      </c>
      <c r="G53" s="35">
        <v>0.125038772593104</v>
      </c>
      <c r="H53" s="37">
        <v>32.711547</v>
      </c>
      <c r="I53" s="37"/>
      <c r="J53" s="35">
        <v>54.5489501450761</v>
      </c>
      <c r="K53" s="35">
        <v>72.90000000000001</v>
      </c>
      <c r="L53" s="35">
        <v>41.43219902</v>
      </c>
      <c r="M53" s="35"/>
      <c r="N53" s="38">
        <v>62.11</v>
      </c>
      <c r="O53" s="38"/>
      <c r="P53" s="38"/>
    </row>
    <row r="54" spans="2:16" ht="18" customHeight="1">
      <c r="B54" s="39" t="s">
        <v>17</v>
      </c>
      <c r="C54" s="39"/>
      <c r="D54" s="40">
        <v>5.81813762310792</v>
      </c>
      <c r="E54" s="40"/>
      <c r="F54" s="41">
        <v>1123.76679992349</v>
      </c>
      <c r="G54" s="40">
        <v>0.874929691038717</v>
      </c>
      <c r="H54" s="42">
        <v>2.249515</v>
      </c>
      <c r="I54" s="42"/>
      <c r="J54" s="40">
        <v>46.6510315281292</v>
      </c>
      <c r="K54" s="40">
        <v>43.7</v>
      </c>
      <c r="L54" s="40">
        <v>29.77739906</v>
      </c>
      <c r="M54" s="40"/>
      <c r="N54" s="43">
        <v>64.254</v>
      </c>
      <c r="O54" s="43"/>
      <c r="P54" s="43"/>
    </row>
    <row r="55" spans="2:16" ht="18" customHeight="1">
      <c r="B55" s="34" t="s">
        <v>19</v>
      </c>
      <c r="C55" s="34"/>
      <c r="D55" s="35">
        <v>5.59946842896643</v>
      </c>
      <c r="E55" s="35"/>
      <c r="F55" s="36">
        <v>1193.27601004701</v>
      </c>
      <c r="G55" s="35">
        <v>3.27823540357584</v>
      </c>
      <c r="H55" s="37">
        <v>25.198821</v>
      </c>
      <c r="I55" s="37"/>
      <c r="J55" s="35">
        <v>32.2127137183989</v>
      </c>
      <c r="K55" s="35">
        <v>49.5</v>
      </c>
      <c r="L55" s="35">
        <v>36.80149841</v>
      </c>
      <c r="M55" s="35"/>
      <c r="N55" s="38">
        <v>60.675</v>
      </c>
      <c r="O55" s="38"/>
      <c r="P55" s="38"/>
    </row>
    <row r="56" spans="2:16" ht="18" customHeight="1">
      <c r="B56" s="39" t="s">
        <v>21</v>
      </c>
      <c r="C56" s="39"/>
      <c r="D56" s="40">
        <v>7.00782960149</v>
      </c>
      <c r="E56" s="40"/>
      <c r="F56" s="41">
        <v>775.353622143879</v>
      </c>
      <c r="G56" s="40">
        <v>-4.45470804102568</v>
      </c>
      <c r="H56" s="42">
        <v>27.917831</v>
      </c>
      <c r="I56" s="42"/>
      <c r="J56" s="40">
        <v>18.3740697195469</v>
      </c>
      <c r="K56" s="40">
        <v>21.3</v>
      </c>
      <c r="L56" s="40">
        <v>15.55760002</v>
      </c>
      <c r="M56" s="40"/>
      <c r="N56" s="43">
        <v>61.433</v>
      </c>
      <c r="O56" s="43"/>
      <c r="P56" s="43"/>
    </row>
    <row r="57" spans="2:16" ht="18" customHeight="1">
      <c r="B57" s="34" t="s">
        <v>23</v>
      </c>
      <c r="C57" s="34"/>
      <c r="D57" s="35">
        <v>6.68227744849194</v>
      </c>
      <c r="E57" s="35"/>
      <c r="F57" s="36">
        <v>1954.71174194867</v>
      </c>
      <c r="G57" s="35">
        <v>1.45900719841385</v>
      </c>
      <c r="H57" s="37">
        <v>18.931966</v>
      </c>
      <c r="I57" s="37"/>
      <c r="J57" s="35">
        <v>55.7672494455246</v>
      </c>
      <c r="K57" s="35">
        <v>82.90000000000001</v>
      </c>
      <c r="L57" s="35">
        <v>60.11780167</v>
      </c>
      <c r="M57" s="35"/>
      <c r="N57" s="38">
        <v>68.92400000000001</v>
      </c>
      <c r="O57" s="38"/>
      <c r="P57" s="38"/>
    </row>
    <row r="58" spans="2:16" ht="18" customHeight="1">
      <c r="B58" s="39" t="s">
        <v>25</v>
      </c>
      <c r="C58" s="39"/>
      <c r="D58" s="40">
        <v>6.31032671625633</v>
      </c>
      <c r="E58" s="40"/>
      <c r="F58" s="41">
        <v>1383.89974929887</v>
      </c>
      <c r="G58" s="40">
        <v>0.433183451279109</v>
      </c>
      <c r="H58" s="42">
        <v>8.591626</v>
      </c>
      <c r="I58" s="42"/>
      <c r="J58" s="40">
        <v>44.3949892074399</v>
      </c>
      <c r="K58" s="40">
        <v>61.1</v>
      </c>
      <c r="L58" s="40">
        <v>39.48320007</v>
      </c>
      <c r="M58" s="40"/>
      <c r="N58" s="43">
        <v>62.935</v>
      </c>
      <c r="O58" s="43"/>
      <c r="P58" s="43"/>
    </row>
    <row r="59" spans="2:16" ht="18" customHeight="1">
      <c r="B59" s="44" t="s">
        <v>135</v>
      </c>
      <c r="C59" s="44"/>
      <c r="D59" s="45">
        <v>6.410842843548589</v>
      </c>
      <c r="E59" s="45"/>
      <c r="F59" s="46">
        <v>1535.869298615131</v>
      </c>
      <c r="G59" s="45">
        <v>0.2788754548217676</v>
      </c>
      <c r="H59" s="47">
        <v>19.31129325</v>
      </c>
      <c r="I59" s="47"/>
      <c r="J59" s="45">
        <v>41.77920590410536</v>
      </c>
      <c r="K59" s="45">
        <v>53.05</v>
      </c>
      <c r="L59" s="45">
        <v>35.675774755</v>
      </c>
      <c r="M59" s="45"/>
      <c r="N59" s="48">
        <v>62.823</v>
      </c>
      <c r="O59" s="48"/>
      <c r="P59" s="48"/>
    </row>
    <row r="61" spans="2:16">
      <c r="B61" s="49" t="s">
        <v>164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</row>
    <row r="62" spans="2:16">
      <c r="B62" s="50" t="s">
        <v>165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</row>
  </sheetData>
  <mergeCells count="103">
    <mergeCell ref="B2:L2"/>
    <mergeCell ref="B3:L3"/>
    <mergeCell ref="B4:L4"/>
    <mergeCell ref="M2:P2"/>
    <mergeCell ref="M3:P3"/>
    <mergeCell ref="M4:P4"/>
    <mergeCell ref="B7:C7"/>
    <mergeCell ref="D7:H7"/>
    <mergeCell ref="J7:K7"/>
    <mergeCell ref="L7:P7"/>
    <mergeCell ref="B8:P8"/>
    <mergeCell ref="C10:H10"/>
    <mergeCell ref="I10:P10"/>
    <mergeCell ref="B12:D12"/>
    <mergeCell ref="B13:D13"/>
    <mergeCell ref="B14:D14"/>
    <mergeCell ref="B15:C15"/>
    <mergeCell ref="F12:H12"/>
    <mergeCell ref="F13:H13"/>
    <mergeCell ref="F14:H14"/>
    <mergeCell ref="F15:G15"/>
    <mergeCell ref="J12:L12"/>
    <mergeCell ref="J13:L13"/>
    <mergeCell ref="J14:L14"/>
    <mergeCell ref="J15:K15"/>
    <mergeCell ref="N12:P12"/>
    <mergeCell ref="N13:P13"/>
    <mergeCell ref="N14:P14"/>
    <mergeCell ref="N15:O15"/>
    <mergeCell ref="B19:D19"/>
    <mergeCell ref="B20:D20"/>
    <mergeCell ref="B21:D21"/>
    <mergeCell ref="B22:C22"/>
    <mergeCell ref="F19:H19"/>
    <mergeCell ref="F20:H20"/>
    <mergeCell ref="F21:H21"/>
    <mergeCell ref="F22:G22"/>
    <mergeCell ref="J19:L19"/>
    <mergeCell ref="J20:L20"/>
    <mergeCell ref="J21:L21"/>
    <mergeCell ref="J22:K22"/>
    <mergeCell ref="N19:P19"/>
    <mergeCell ref="N20:P20"/>
    <mergeCell ref="N21:P21"/>
    <mergeCell ref="N22:O22"/>
    <mergeCell ref="B27:C27"/>
    <mergeCell ref="D27:H27"/>
    <mergeCell ref="J27:P27"/>
    <mergeCell ref="B30:H30"/>
    <mergeCell ref="J30:P30"/>
    <mergeCell ref="B49:P49"/>
    <mergeCell ref="B50:C50"/>
    <mergeCell ref="D50:E50"/>
    <mergeCell ref="H50:I50"/>
    <mergeCell ref="L50:M50"/>
    <mergeCell ref="N50:P50"/>
    <mergeCell ref="B51:C51"/>
    <mergeCell ref="D51:E51"/>
    <mergeCell ref="H51:I51"/>
    <mergeCell ref="L51:M51"/>
    <mergeCell ref="N51:P51"/>
    <mergeCell ref="B52:C52"/>
    <mergeCell ref="D52:E52"/>
    <mergeCell ref="H52:I52"/>
    <mergeCell ref="L52:M52"/>
    <mergeCell ref="N52:P52"/>
    <mergeCell ref="B53:C53"/>
    <mergeCell ref="D53:E53"/>
    <mergeCell ref="H53:I53"/>
    <mergeCell ref="L53:M53"/>
    <mergeCell ref="N53:P53"/>
    <mergeCell ref="B54:C54"/>
    <mergeCell ref="D54:E54"/>
    <mergeCell ref="H54:I54"/>
    <mergeCell ref="L54:M54"/>
    <mergeCell ref="N54:P54"/>
    <mergeCell ref="B55:C55"/>
    <mergeCell ref="D55:E55"/>
    <mergeCell ref="H55:I55"/>
    <mergeCell ref="L55:M55"/>
    <mergeCell ref="N55:P55"/>
    <mergeCell ref="B56:C56"/>
    <mergeCell ref="D56:E56"/>
    <mergeCell ref="H56:I56"/>
    <mergeCell ref="L56:M56"/>
    <mergeCell ref="N56:P56"/>
    <mergeCell ref="B57:C57"/>
    <mergeCell ref="D57:E57"/>
    <mergeCell ref="H57:I57"/>
    <mergeCell ref="L57:M57"/>
    <mergeCell ref="N57:P57"/>
    <mergeCell ref="B58:C58"/>
    <mergeCell ref="D58:E58"/>
    <mergeCell ref="H58:I58"/>
    <mergeCell ref="L58:M58"/>
    <mergeCell ref="N58:P58"/>
    <mergeCell ref="B59:C59"/>
    <mergeCell ref="D59:E59"/>
    <mergeCell ref="H59:I59"/>
    <mergeCell ref="L59:M59"/>
    <mergeCell ref="N59:P59"/>
    <mergeCell ref="B61:P61"/>
    <mergeCell ref="B62:P62"/>
  </mergeCells>
  <conditionalFormatting sqref="B15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B51:P58">
    <cfRule type="expression" dxfId="2" priority="11">
      <formula>$B51=$D$7</formula>
    </cfRule>
    <cfRule type="expression" dxfId="3" priority="12">
      <formula>$B51=$L$7</formula>
    </cfRule>
  </conditionalFormatting>
  <conditionalFormatting sqref="F15">
    <cfRule type="cellIs" dxfId="0" priority="3" operator="greaterThan">
      <formula>0</formula>
    </cfRule>
    <cfRule type="cellIs" dxfId="1" priority="4" operator="lessThan">
      <formula>0</formula>
    </cfRule>
  </conditionalFormatting>
  <conditionalFormatting sqref="F22">
    <cfRule type="cellIs" dxfId="0" priority="5" operator="greaterThan">
      <formula>0</formula>
    </cfRule>
    <cfRule type="cellIs" dxfId="1" priority="6" operator="lessThan">
      <formula>0</formula>
    </cfRule>
  </conditionalFormatting>
  <conditionalFormatting sqref="J22">
    <cfRule type="cellIs" dxfId="0" priority="7" operator="greaterThan">
      <formula>0</formula>
    </cfRule>
    <cfRule type="cellIs" dxfId="1" priority="8" operator="lessThan">
      <formula>0</formula>
    </cfRule>
  </conditionalFormatting>
  <conditionalFormatting sqref="N22">
    <cfRule type="cellIs" dxfId="0" priority="9" operator="greaterThan">
      <formula>0</formula>
    </cfRule>
    <cfRule type="cellIs" dxfId="1" priority="10" operator="lessThan">
      <formula>0</formula>
    </cfRule>
  </conditionalFormatting>
  <dataValidations count="3">
    <dataValidation type="list" allowBlank="1" showInputMessage="1" showErrorMessage="1" errorTitle="Pays" error="Choisissez un pays dans la liste." sqref="D7">
      <formula1>Calculs!$A$2:$A$10</formula1>
    </dataValidation>
    <dataValidation type="list" allowBlank="1" showInputMessage="1" showErrorMessage="1" errorTitle="Pays" error="Choisissez un pays dans la liste." sqref="L7">
      <formula1>Calculs!$A$2:$A$10</formula1>
    </dataValidation>
    <dataValidation type="list" allowBlank="1" showInputMessage="1" showErrorMessage="1" errorTitle="Indicateur" error="Choisissez un indicateur dans la liste." sqref="D27">
      <formula1>Calculs!$D$2:$D$9</formula1>
    </dataValidation>
  </dataValidations>
  <pageMargins left="0.4" right="0.4" top="0.5" bottom="0.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7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0.7109375" customWidth="1"/>
    <col min="2" max="2" width="24.7109375" customWidth="1"/>
    <col min="3" max="3" width="26.7109375" customWidth="1"/>
    <col min="4" max="4" width="22.7109375" customWidth="1"/>
    <col min="5" max="34" width="10.7109375" customWidth="1"/>
  </cols>
  <sheetData>
    <row r="1" spans="1:34">
      <c r="A1" s="51" t="s">
        <v>0</v>
      </c>
      <c r="B1" s="51" t="s">
        <v>1</v>
      </c>
      <c r="C1" s="51" t="s">
        <v>2</v>
      </c>
      <c r="D1" s="51" t="s">
        <v>3</v>
      </c>
      <c r="E1" s="51">
        <v>2000</v>
      </c>
      <c r="F1" s="51">
        <v>2001</v>
      </c>
      <c r="G1" s="51">
        <v>2002</v>
      </c>
      <c r="H1" s="51">
        <v>2003</v>
      </c>
      <c r="I1" s="51">
        <v>2004</v>
      </c>
      <c r="J1" s="51">
        <v>2005</v>
      </c>
      <c r="K1" s="51">
        <v>2006</v>
      </c>
      <c r="L1" s="51">
        <v>2007</v>
      </c>
      <c r="M1" s="51">
        <v>2008</v>
      </c>
      <c r="N1" s="51">
        <v>2009</v>
      </c>
      <c r="O1" s="51">
        <v>2010</v>
      </c>
      <c r="P1" s="51">
        <v>2011</v>
      </c>
      <c r="Q1" s="51">
        <v>2012</v>
      </c>
      <c r="R1" s="51">
        <v>2013</v>
      </c>
      <c r="S1" s="51">
        <v>2014</v>
      </c>
      <c r="T1" s="51">
        <v>2015</v>
      </c>
      <c r="U1" s="51">
        <v>2016</v>
      </c>
      <c r="V1" s="51">
        <v>2017</v>
      </c>
      <c r="W1" s="51">
        <v>2018</v>
      </c>
      <c r="X1" s="51">
        <v>2019</v>
      </c>
      <c r="Y1" s="51">
        <v>2020</v>
      </c>
      <c r="Z1" s="51">
        <v>2021</v>
      </c>
      <c r="AA1" s="51">
        <v>2022</v>
      </c>
      <c r="AB1" s="51">
        <v>2023</v>
      </c>
      <c r="AC1" s="51">
        <v>2024</v>
      </c>
      <c r="AD1" s="51">
        <v>2025</v>
      </c>
      <c r="AE1" s="51" t="s">
        <v>4</v>
      </c>
      <c r="AF1" s="51" t="s">
        <v>5</v>
      </c>
      <c r="AG1" s="51" t="s">
        <v>6</v>
      </c>
      <c r="AH1" s="51" t="s">
        <v>7</v>
      </c>
    </row>
    <row r="2" spans="1:34">
      <c r="A2" s="52" t="s">
        <v>8</v>
      </c>
      <c r="B2" s="52" t="s">
        <v>9</v>
      </c>
      <c r="C2" s="52" t="s">
        <v>10</v>
      </c>
      <c r="D2" s="52" t="s">
        <v>11</v>
      </c>
      <c r="E2" s="53">
        <v>5.85771420543269</v>
      </c>
      <c r="F2" s="53">
        <v>5.33313570603937</v>
      </c>
      <c r="G2" s="53">
        <v>4.64303087074482</v>
      </c>
      <c r="H2" s="53">
        <v>3.44357677591658</v>
      </c>
      <c r="I2" s="53">
        <v>4.42968455385082</v>
      </c>
      <c r="J2" s="53">
        <v>1.71316456361184</v>
      </c>
      <c r="K2" s="53">
        <v>3.94373882815798</v>
      </c>
      <c r="L2" s="53">
        <v>5.98634932177609</v>
      </c>
      <c r="M2" s="53">
        <v>4.89657708429647</v>
      </c>
      <c r="N2" s="53">
        <v>2.31929213912838</v>
      </c>
      <c r="O2" s="53">
        <v>2.11406472648392</v>
      </c>
      <c r="P2" s="53">
        <v>2.96375291904201</v>
      </c>
      <c r="Q2" s="53">
        <v>4.811223315688</v>
      </c>
      <c r="R2" s="53">
        <v>7.19143372144946</v>
      </c>
      <c r="S2" s="53">
        <v>6.35767909791932</v>
      </c>
      <c r="T2" s="53">
        <v>1.77815106030278</v>
      </c>
      <c r="U2" s="53">
        <v>3.33967342629693</v>
      </c>
      <c r="V2" s="53">
        <v>5.67156195150444</v>
      </c>
      <c r="W2" s="53">
        <v>6.69725362180888</v>
      </c>
      <c r="X2" s="53">
        <v>6.86568662848335</v>
      </c>
      <c r="Y2" s="53">
        <v>3.84879240030133</v>
      </c>
      <c r="Z2" s="53">
        <v>7.1554516457574</v>
      </c>
      <c r="AA2" s="53">
        <v>6.25294705373625</v>
      </c>
      <c r="AB2" s="53">
        <v>6.3527773854442</v>
      </c>
      <c r="AC2" s="53">
        <v>7.45311566226201</v>
      </c>
      <c r="AD2" s="53">
        <v>8.07408453688336</v>
      </c>
      <c r="AE2" s="52">
        <v>2025</v>
      </c>
      <c r="AF2" s="53">
        <v>8.07408453688336</v>
      </c>
      <c r="AG2" s="53">
        <v>4.225292136582031</v>
      </c>
      <c r="AH2" s="52">
        <v>1</v>
      </c>
    </row>
    <row r="3" spans="1:34">
      <c r="A3" s="52" t="s">
        <v>12</v>
      </c>
      <c r="B3" s="52" t="s">
        <v>9</v>
      </c>
      <c r="C3" s="52" t="s">
        <v>13</v>
      </c>
      <c r="D3" s="52" t="s">
        <v>11</v>
      </c>
      <c r="E3" s="53">
        <v>1.88847388906525</v>
      </c>
      <c r="F3" s="53">
        <v>6.61340574539679</v>
      </c>
      <c r="G3" s="53">
        <v>4.35296382988099</v>
      </c>
      <c r="H3" s="53">
        <v>7.80249388870359</v>
      </c>
      <c r="I3" s="53">
        <v>4.47845213670386</v>
      </c>
      <c r="J3" s="53">
        <v>8.661873228412251</v>
      </c>
      <c r="K3" s="53">
        <v>6.25316468817478</v>
      </c>
      <c r="L3" s="53">
        <v>4.11137901761516</v>
      </c>
      <c r="M3" s="53">
        <v>5.79999174105387</v>
      </c>
      <c r="N3" s="53">
        <v>2.96195085866692</v>
      </c>
      <c r="O3" s="53">
        <v>8.446281577076251</v>
      </c>
      <c r="P3" s="53">
        <v>6.62256261306693</v>
      </c>
      <c r="Q3" s="53">
        <v>6.45267237953146</v>
      </c>
      <c r="R3" s="53">
        <v>5.79258484509867</v>
      </c>
      <c r="S3" s="53">
        <v>4.32684561452976</v>
      </c>
      <c r="T3" s="53">
        <v>3.9212287937935</v>
      </c>
      <c r="U3" s="53">
        <v>5.95797670754024</v>
      </c>
      <c r="V3" s="53">
        <v>6.20348941121868</v>
      </c>
      <c r="W3" s="53">
        <v>6.60456906812341</v>
      </c>
      <c r="X3" s="53">
        <v>5.88920497068135</v>
      </c>
      <c r="Y3" s="53">
        <v>2.01077262406221</v>
      </c>
      <c r="Z3" s="53">
        <v>6.94252492572348</v>
      </c>
      <c r="AA3" s="53">
        <v>1.62673258211919</v>
      </c>
      <c r="AB3" s="53">
        <v>3.00027415814125</v>
      </c>
      <c r="AC3" s="53">
        <v>4.83395810163883</v>
      </c>
      <c r="AD3" s="53">
        <v>5.29461839319283</v>
      </c>
      <c r="AE3" s="52">
        <v>2025</v>
      </c>
      <c r="AF3" s="53">
        <v>5.29461839319283</v>
      </c>
      <c r="AG3" s="53">
        <v>3.28384576913062</v>
      </c>
      <c r="AH3" s="52">
        <v>8</v>
      </c>
    </row>
    <row r="4" spans="1:34">
      <c r="A4" s="52" t="s">
        <v>14</v>
      </c>
      <c r="B4" s="52" t="s">
        <v>9</v>
      </c>
      <c r="C4" s="52" t="s">
        <v>15</v>
      </c>
      <c r="D4" s="52" t="s">
        <v>11</v>
      </c>
      <c r="E4" s="53">
        <v>-0.265789462275947</v>
      </c>
      <c r="F4" s="53">
        <v>-2.15401249077306</v>
      </c>
      <c r="G4" s="53">
        <v>-2.73052647441901</v>
      </c>
      <c r="H4" s="53">
        <v>-4.72586658630681</v>
      </c>
      <c r="I4" s="53">
        <v>3.18503822575397</v>
      </c>
      <c r="J4" s="53">
        <v>0.996065564854788</v>
      </c>
      <c r="K4" s="53">
        <v>2.81557859252327</v>
      </c>
      <c r="L4" s="53">
        <v>1.10142976793477</v>
      </c>
      <c r="M4" s="53">
        <v>4.7826659787672</v>
      </c>
      <c r="N4" s="53">
        <v>3.60332156667053</v>
      </c>
      <c r="O4" s="53">
        <v>6.84804939907013</v>
      </c>
      <c r="P4" s="53">
        <v>-5.37044724000579</v>
      </c>
      <c r="Q4" s="53">
        <v>7.62041176451649</v>
      </c>
      <c r="R4" s="53">
        <v>10.7602131311256</v>
      </c>
      <c r="S4" s="53">
        <v>9.37199994240375</v>
      </c>
      <c r="T4" s="53">
        <v>7.19494942728191</v>
      </c>
      <c r="U4" s="53">
        <v>7.17275963956332</v>
      </c>
      <c r="V4" s="53">
        <v>7.41076242592504</v>
      </c>
      <c r="W4" s="53">
        <v>4.84314605889178</v>
      </c>
      <c r="X4" s="53">
        <v>6.72137167584978</v>
      </c>
      <c r="Y4" s="53">
        <v>0.699728593494228</v>
      </c>
      <c r="Z4" s="53">
        <v>7.06253713446816</v>
      </c>
      <c r="AA4" s="53">
        <v>6.39988362730921</v>
      </c>
      <c r="AB4" s="53">
        <v>6.60000045209176</v>
      </c>
      <c r="AC4" s="53">
        <v>6.0195346193922</v>
      </c>
      <c r="AD4" s="53">
        <v>6.4999999999999</v>
      </c>
      <c r="AE4" s="52">
        <v>2025</v>
      </c>
      <c r="AF4" s="53">
        <v>6.4999999999999</v>
      </c>
      <c r="AG4" s="53">
        <v>5.800271406505671</v>
      </c>
      <c r="AH4" s="52">
        <v>4</v>
      </c>
    </row>
    <row r="5" spans="1:34">
      <c r="A5" s="52" t="s">
        <v>16</v>
      </c>
      <c r="B5" s="52" t="s">
        <v>9</v>
      </c>
      <c r="C5" s="52" t="s">
        <v>17</v>
      </c>
      <c r="D5" s="52" t="s">
        <v>11</v>
      </c>
      <c r="E5" s="53">
        <v>1.10027815777423</v>
      </c>
      <c r="F5" s="53">
        <v>4.7859716500482</v>
      </c>
      <c r="G5" s="53">
        <v>3.65393603642713</v>
      </c>
      <c r="H5" s="53">
        <v>-0.285931052286514</v>
      </c>
      <c r="I5" s="53">
        <v>1.17189152277038</v>
      </c>
      <c r="J5" s="53">
        <v>6.55977111846077</v>
      </c>
      <c r="K5" s="53">
        <v>2.66650493269572</v>
      </c>
      <c r="L5" s="53">
        <v>2.55982647078751</v>
      </c>
      <c r="M5" s="53">
        <v>4.52457514610252</v>
      </c>
      <c r="N5" s="53">
        <v>2.44795106098685</v>
      </c>
      <c r="O5" s="53">
        <v>5.60536311358261</v>
      </c>
      <c r="P5" s="53">
        <v>8.08504167173554</v>
      </c>
      <c r="Q5" s="53">
        <v>-1.71286958446419</v>
      </c>
      <c r="R5" s="53">
        <v>3.25607190852087</v>
      </c>
      <c r="S5" s="53">
        <v>0.964525745841428</v>
      </c>
      <c r="T5" s="53">
        <v>6.1340893623123</v>
      </c>
      <c r="U5" s="53">
        <v>5.4326782650304</v>
      </c>
      <c r="V5" s="53">
        <v>4.66367943913264</v>
      </c>
      <c r="W5" s="53">
        <v>3.76145359637003</v>
      </c>
      <c r="X5" s="53">
        <v>5.32749571119344</v>
      </c>
      <c r="Y5" s="53">
        <v>2.89149979806913</v>
      </c>
      <c r="Z5" s="53">
        <v>5.0173096003907</v>
      </c>
      <c r="AA5" s="53">
        <v>5.45776090019501</v>
      </c>
      <c r="AB5" s="53">
        <v>4.63052364601562</v>
      </c>
      <c r="AC5" s="53">
        <v>4.40920107183611</v>
      </c>
      <c r="AD5" s="53">
        <v>5.81813762310792</v>
      </c>
      <c r="AE5" s="52">
        <v>2025</v>
      </c>
      <c r="AF5" s="53">
        <v>5.81813762310792</v>
      </c>
      <c r="AG5" s="53">
        <v>2.92663782503879</v>
      </c>
      <c r="AH5" s="52">
        <v>6</v>
      </c>
    </row>
    <row r="6" spans="1:34">
      <c r="A6" s="52" t="s">
        <v>18</v>
      </c>
      <c r="B6" s="52" t="s">
        <v>9</v>
      </c>
      <c r="C6" s="52" t="s">
        <v>19</v>
      </c>
      <c r="D6" s="52" t="s">
        <v>11</v>
      </c>
      <c r="E6" s="53">
        <v>-0.736019992224286</v>
      </c>
      <c r="F6" s="53">
        <v>15.806031742271</v>
      </c>
      <c r="G6" s="53">
        <v>3.03627540738884</v>
      </c>
      <c r="H6" s="53">
        <v>9.797122560866439</v>
      </c>
      <c r="I6" s="53">
        <v>1.47732490290102</v>
      </c>
      <c r="J6" s="53">
        <v>2.53837834888921</v>
      </c>
      <c r="K6" s="53">
        <v>3.68960265255278</v>
      </c>
      <c r="L6" s="53">
        <v>1.76004607852802</v>
      </c>
      <c r="M6" s="53">
        <v>3.63871070923719</v>
      </c>
      <c r="N6" s="53">
        <v>5.45473562683669</v>
      </c>
      <c r="O6" s="53">
        <v>5.57678859793515</v>
      </c>
      <c r="P6" s="53">
        <v>2.93537897118415</v>
      </c>
      <c r="Q6" s="53">
        <v>-1.07239924147837</v>
      </c>
      <c r="R6" s="53">
        <v>3.29068742053545</v>
      </c>
      <c r="S6" s="53">
        <v>6.50263878386326</v>
      </c>
      <c r="T6" s="53">
        <v>6.23887890181064</v>
      </c>
      <c r="U6" s="53">
        <v>6.00506308559498</v>
      </c>
      <c r="V6" s="53">
        <v>5.37554769647939</v>
      </c>
      <c r="W6" s="53">
        <v>4.86784999935264</v>
      </c>
      <c r="X6" s="53">
        <v>4.99999911699705</v>
      </c>
      <c r="Y6" s="53">
        <v>-1.16910834857605</v>
      </c>
      <c r="Z6" s="53">
        <v>3.10094124463507</v>
      </c>
      <c r="AA6" s="53">
        <v>3.70319027585386</v>
      </c>
      <c r="AB6" s="53">
        <v>4.76394100040932</v>
      </c>
      <c r="AC6" s="53">
        <v>5.01653579205785</v>
      </c>
      <c r="AD6" s="53">
        <v>5.59946842896643</v>
      </c>
      <c r="AE6" s="52">
        <v>2025</v>
      </c>
      <c r="AF6" s="53">
        <v>5.59946842896643</v>
      </c>
      <c r="AG6" s="53">
        <v>6.768576777542481</v>
      </c>
      <c r="AH6" s="52">
        <v>7</v>
      </c>
    </row>
    <row r="7" spans="1:34">
      <c r="A7" s="52" t="s">
        <v>20</v>
      </c>
      <c r="B7" s="52" t="s">
        <v>9</v>
      </c>
      <c r="C7" s="52" t="s">
        <v>21</v>
      </c>
      <c r="D7" s="52" t="s">
        <v>11</v>
      </c>
      <c r="E7" s="53">
        <v>-1.20847774100575</v>
      </c>
      <c r="F7" s="53">
        <v>7.26813490213235</v>
      </c>
      <c r="G7" s="53">
        <v>4.91847057594622</v>
      </c>
      <c r="H7" s="53">
        <v>2.1706103837418</v>
      </c>
      <c r="I7" s="53">
        <v>0.363801578722132</v>
      </c>
      <c r="J7" s="53">
        <v>7.33186884258517</v>
      </c>
      <c r="K7" s="53">
        <v>5.93104997350342</v>
      </c>
      <c r="L7" s="53">
        <v>3.14272408386731</v>
      </c>
      <c r="M7" s="53">
        <v>7.73141422777337</v>
      </c>
      <c r="N7" s="53">
        <v>1.96260090694645</v>
      </c>
      <c r="O7" s="53">
        <v>8.57816674262253</v>
      </c>
      <c r="P7" s="53">
        <v>2.35775693603874</v>
      </c>
      <c r="Q7" s="53">
        <v>10.5489445763446</v>
      </c>
      <c r="R7" s="53">
        <v>5.31513063394726</v>
      </c>
      <c r="S7" s="53">
        <v>6.64213665495603</v>
      </c>
      <c r="T7" s="53">
        <v>4.39264883207291</v>
      </c>
      <c r="U7" s="53">
        <v>4.28137558478143</v>
      </c>
      <c r="V7" s="53">
        <v>5.53198531271451</v>
      </c>
      <c r="W7" s="53">
        <v>6.89458420864513</v>
      </c>
      <c r="X7" s="53">
        <v>6.07881528959186</v>
      </c>
      <c r="Y7" s="53">
        <v>4.45481803846413</v>
      </c>
      <c r="Z7" s="53">
        <v>1.11520063869706</v>
      </c>
      <c r="AA7" s="53">
        <v>12.2215497467041</v>
      </c>
      <c r="AB7" s="53">
        <v>2.63516980401258</v>
      </c>
      <c r="AC7" s="53">
        <v>8.323270582807281</v>
      </c>
      <c r="AD7" s="53">
        <v>7.00782960149</v>
      </c>
      <c r="AE7" s="52">
        <v>2025</v>
      </c>
      <c r="AF7" s="53">
        <v>7.00782960149</v>
      </c>
      <c r="AG7" s="53">
        <v>2.55301156302587</v>
      </c>
      <c r="AH7" s="52">
        <v>2</v>
      </c>
    </row>
    <row r="8" spans="1:34">
      <c r="A8" s="52" t="s">
        <v>22</v>
      </c>
      <c r="B8" s="52" t="s">
        <v>9</v>
      </c>
      <c r="C8" s="52" t="s">
        <v>23</v>
      </c>
      <c r="D8" s="52" t="s">
        <v>11</v>
      </c>
      <c r="E8" s="53">
        <v>3.88721095816793</v>
      </c>
      <c r="F8" s="53">
        <v>4.31085146618369</v>
      </c>
      <c r="G8" s="53">
        <v>0.0686965747419066</v>
      </c>
      <c r="H8" s="53">
        <v>5.59395094456143</v>
      </c>
      <c r="I8" s="53">
        <v>4.64329393683312</v>
      </c>
      <c r="J8" s="53">
        <v>4.31023852639633</v>
      </c>
      <c r="K8" s="53">
        <v>2.33077098330239</v>
      </c>
      <c r="L8" s="53">
        <v>2.82711920133374</v>
      </c>
      <c r="M8" s="53">
        <v>3.70316906391386</v>
      </c>
      <c r="N8" s="53">
        <v>2.75210448455053</v>
      </c>
      <c r="O8" s="53">
        <v>3.39088925336209</v>
      </c>
      <c r="P8" s="53">
        <v>1.33409107961258</v>
      </c>
      <c r="Q8" s="53">
        <v>4.00299555090457</v>
      </c>
      <c r="R8" s="53">
        <v>2.41238527605579</v>
      </c>
      <c r="S8" s="53">
        <v>6.22407443790986</v>
      </c>
      <c r="T8" s="53">
        <v>6.36704365066983</v>
      </c>
      <c r="U8" s="53">
        <v>6.35606857208136</v>
      </c>
      <c r="V8" s="53">
        <v>7.40748618589598</v>
      </c>
      <c r="W8" s="53">
        <v>6.20924103388887</v>
      </c>
      <c r="X8" s="53">
        <v>4.6136280976221</v>
      </c>
      <c r="Y8" s="53">
        <v>1.34207377285524</v>
      </c>
      <c r="Z8" s="53">
        <v>6.5440010991951</v>
      </c>
      <c r="AA8" s="53">
        <v>3.85043193752725</v>
      </c>
      <c r="AB8" s="53">
        <v>4.25743083300657</v>
      </c>
      <c r="AC8" s="53">
        <v>6.46220577412338</v>
      </c>
      <c r="AD8" s="53">
        <v>6.68227744849194</v>
      </c>
      <c r="AE8" s="52">
        <v>2025</v>
      </c>
      <c r="AF8" s="53">
        <v>6.68227744849194</v>
      </c>
      <c r="AG8" s="53">
        <v>5.340203675636699</v>
      </c>
      <c r="AH8" s="52">
        <v>3</v>
      </c>
    </row>
    <row r="9" spans="1:34">
      <c r="A9" s="52" t="s">
        <v>24</v>
      </c>
      <c r="B9" s="52" t="s">
        <v>9</v>
      </c>
      <c r="C9" s="52" t="s">
        <v>25</v>
      </c>
      <c r="D9" s="52" t="s">
        <v>11</v>
      </c>
      <c r="E9" s="53">
        <v>-0.783479610048047</v>
      </c>
      <c r="F9" s="53">
        <v>0.823438752111855</v>
      </c>
      <c r="G9" s="53">
        <v>3.82662257675142</v>
      </c>
      <c r="H9" s="53">
        <v>6.72017142336034</v>
      </c>
      <c r="I9" s="53">
        <v>-0.978665332738743</v>
      </c>
      <c r="J9" s="53">
        <v>-4.66629938413338</v>
      </c>
      <c r="K9" s="53">
        <v>2.65013209943473</v>
      </c>
      <c r="L9" s="53">
        <v>-1.1751368996605</v>
      </c>
      <c r="M9" s="53">
        <v>4.03561315398862</v>
      </c>
      <c r="N9" s="53">
        <v>5.45381096920332</v>
      </c>
      <c r="O9" s="53">
        <v>5.85433399076879</v>
      </c>
      <c r="P9" s="53">
        <v>5.82325622135289</v>
      </c>
      <c r="Q9" s="53">
        <v>6.30271426865185</v>
      </c>
      <c r="R9" s="53">
        <v>5.82425069283059</v>
      </c>
      <c r="S9" s="53">
        <v>5.63323739145223</v>
      </c>
      <c r="T9" s="53">
        <v>5.4680413807304</v>
      </c>
      <c r="U9" s="53">
        <v>4.21490387414525</v>
      </c>
      <c r="V9" s="53">
        <v>4.00791259566937</v>
      </c>
      <c r="W9" s="53">
        <v>4.79518333086139</v>
      </c>
      <c r="X9" s="53">
        <v>4.91949260488683</v>
      </c>
      <c r="Y9" s="53">
        <v>2.15900131150536</v>
      </c>
      <c r="Z9" s="53">
        <v>5.13562929064506</v>
      </c>
      <c r="AA9" s="53">
        <v>6.29443692019429</v>
      </c>
      <c r="AB9" s="53">
        <v>6.19762969378132</v>
      </c>
      <c r="AC9" s="53">
        <v>6.52651376797853</v>
      </c>
      <c r="AD9" s="53">
        <v>6.31032671625633</v>
      </c>
      <c r="AE9" s="52">
        <v>2025</v>
      </c>
      <c r="AF9" s="53">
        <v>6.31032671625633</v>
      </c>
      <c r="AG9" s="53">
        <v>4.15132540475097</v>
      </c>
      <c r="AH9" s="52">
        <v>5</v>
      </c>
    </row>
    <row r="10" spans="1:34">
      <c r="A10" s="52" t="s">
        <v>26</v>
      </c>
      <c r="B10" s="52" t="s">
        <v>9</v>
      </c>
      <c r="C10" s="52" t="s">
        <v>27</v>
      </c>
      <c r="D10" s="52" t="s">
        <v>11</v>
      </c>
      <c r="E10" s="53">
        <v>1.217488800610759</v>
      </c>
      <c r="F10" s="53">
        <v>5.348369684176275</v>
      </c>
      <c r="G10" s="53">
        <v>2.72118367468279</v>
      </c>
      <c r="H10" s="53">
        <v>3.814516042319607</v>
      </c>
      <c r="I10" s="53">
        <v>2.34635269059957</v>
      </c>
      <c r="J10" s="53">
        <v>3.430632601134622</v>
      </c>
      <c r="K10" s="53">
        <v>3.785067843793134</v>
      </c>
      <c r="L10" s="53">
        <v>2.539217130272763</v>
      </c>
      <c r="M10" s="53">
        <v>4.889089638141638</v>
      </c>
      <c r="N10" s="53">
        <v>3.369470951623709</v>
      </c>
      <c r="O10" s="53">
        <v>5.801742175112684</v>
      </c>
      <c r="P10" s="53">
        <v>3.093924146503381</v>
      </c>
      <c r="Q10" s="53">
        <v>4.619211628711801</v>
      </c>
      <c r="R10" s="53">
        <v>5.480344703695462</v>
      </c>
      <c r="S10" s="53">
        <v>5.752892208609455</v>
      </c>
      <c r="T10" s="53">
        <v>5.186878926121784</v>
      </c>
      <c r="U10" s="53">
        <v>5.345062394379239</v>
      </c>
      <c r="V10" s="53">
        <v>5.784053127317506</v>
      </c>
      <c r="W10" s="53">
        <v>5.584160114742766</v>
      </c>
      <c r="X10" s="53">
        <v>5.67696176191322</v>
      </c>
      <c r="Y10" s="53">
        <v>2.029697273771947</v>
      </c>
      <c r="Z10" s="53">
        <v>5.259199447439004</v>
      </c>
      <c r="AA10" s="53">
        <v>5.725866630454895</v>
      </c>
      <c r="AB10" s="53">
        <v>4.804718371612827</v>
      </c>
      <c r="AC10" s="53">
        <v>6.130541921512024</v>
      </c>
      <c r="AD10" s="53">
        <v>6.410842843548589</v>
      </c>
      <c r="AE10" s="52">
        <v>2025</v>
      </c>
      <c r="AF10" s="53">
        <v>6.410842843548589</v>
      </c>
      <c r="AG10" s="53">
        <v>4.381145569776641</v>
      </c>
      <c r="AH10" s="52"/>
    </row>
    <row r="11" spans="1:34">
      <c r="A11" s="52" t="s">
        <v>28</v>
      </c>
      <c r="B11" s="52" t="s">
        <v>29</v>
      </c>
      <c r="C11" s="52" t="s">
        <v>10</v>
      </c>
      <c r="D11" s="52" t="s">
        <v>30</v>
      </c>
      <c r="E11" s="53">
        <v>487.424141384242</v>
      </c>
      <c r="F11" s="53">
        <v>492.401499509072</v>
      </c>
      <c r="G11" s="53">
        <v>546.4638296581591</v>
      </c>
      <c r="H11" s="53">
        <v>676.002878084282</v>
      </c>
      <c r="I11" s="53">
        <v>758.695803786371</v>
      </c>
      <c r="J11" s="53">
        <v>779.4377777532681</v>
      </c>
      <c r="K11" s="53">
        <v>809.147072506221</v>
      </c>
      <c r="L11" s="53">
        <v>912.3382471883421</v>
      </c>
      <c r="M11" s="53">
        <v>1060.60254502099</v>
      </c>
      <c r="N11" s="53">
        <v>1024.10277858112</v>
      </c>
      <c r="O11" s="53">
        <v>973.244254931526</v>
      </c>
      <c r="P11" s="53">
        <v>1059.41358852588</v>
      </c>
      <c r="Q11" s="53">
        <v>1071.5258366283</v>
      </c>
      <c r="R11" s="53">
        <v>1168.92699279226</v>
      </c>
      <c r="S11" s="53">
        <v>1204.39918670094</v>
      </c>
      <c r="T11" s="53">
        <v>1002.41886879614</v>
      </c>
      <c r="U11" s="53">
        <v>1010.5338961993</v>
      </c>
      <c r="V11" s="53">
        <v>1054.97408066814</v>
      </c>
      <c r="W11" s="53">
        <v>1151.7409703472</v>
      </c>
      <c r="X11" s="53">
        <v>1130.82135339795</v>
      </c>
      <c r="Y11" s="53">
        <v>1200.19426557789</v>
      </c>
      <c r="Z11" s="53">
        <v>1318.65158075198</v>
      </c>
      <c r="AA11" s="53">
        <v>1266.42711031904</v>
      </c>
      <c r="AB11" s="53">
        <v>1394.17784721831</v>
      </c>
      <c r="AC11" s="53">
        <v>1485.38018885134</v>
      </c>
      <c r="AD11" s="53">
        <v>1658.27312662991</v>
      </c>
      <c r="AE11" s="52">
        <v>2025</v>
      </c>
      <c r="AF11" s="53">
        <v>1658.27312662991</v>
      </c>
      <c r="AG11" s="53">
        <v>38.16705963275506</v>
      </c>
      <c r="AH11" s="52">
        <v>3</v>
      </c>
    </row>
    <row r="12" spans="1:34">
      <c r="A12" s="52" t="s">
        <v>31</v>
      </c>
      <c r="B12" s="52" t="s">
        <v>29</v>
      </c>
      <c r="C12" s="52" t="s">
        <v>13</v>
      </c>
      <c r="D12" s="52" t="s">
        <v>30</v>
      </c>
      <c r="E12" s="53">
        <v>248.908526921752</v>
      </c>
      <c r="F12" s="53">
        <v>259.485223380436</v>
      </c>
      <c r="G12" s="53">
        <v>285.654087637533</v>
      </c>
      <c r="H12" s="53">
        <v>362.373899996953</v>
      </c>
      <c r="I12" s="53">
        <v>403.81283743461</v>
      </c>
      <c r="J12" s="53">
        <v>441.164148016012</v>
      </c>
      <c r="K12" s="53">
        <v>455.513655620024</v>
      </c>
      <c r="L12" s="53">
        <v>514.684451177238</v>
      </c>
      <c r="M12" s="53">
        <v>619.437533256264</v>
      </c>
      <c r="N12" s="53">
        <v>601.569520671859</v>
      </c>
      <c r="O12" s="53">
        <v>624.957252224766</v>
      </c>
      <c r="P12" s="53">
        <v>725.024767725475</v>
      </c>
      <c r="Q12" s="53">
        <v>731.470138867833</v>
      </c>
      <c r="R12" s="53">
        <v>759.762065168498</v>
      </c>
      <c r="S12" s="53">
        <v>764.861675106225</v>
      </c>
      <c r="T12" s="53">
        <v>630.124750752312</v>
      </c>
      <c r="U12" s="53">
        <v>663.742364842886</v>
      </c>
      <c r="V12" s="53">
        <v>709.091535894695</v>
      </c>
      <c r="W12" s="53">
        <v>777.4656185140479</v>
      </c>
      <c r="X12" s="53">
        <v>764.853077774946</v>
      </c>
      <c r="Y12" s="53">
        <v>825.237038782475</v>
      </c>
      <c r="Z12" s="53">
        <v>895.535288442991</v>
      </c>
      <c r="AA12" s="53">
        <v>827.330843486661</v>
      </c>
      <c r="AB12" s="53">
        <v>873.1980616702469</v>
      </c>
      <c r="AC12" s="53">
        <v>982.493100418428</v>
      </c>
      <c r="AD12" s="53">
        <v>1147.57131635601</v>
      </c>
      <c r="AE12" s="52">
        <v>2025</v>
      </c>
      <c r="AF12" s="53">
        <v>1147.57131635601</v>
      </c>
      <c r="AG12" s="53">
        <v>39.05959893039888</v>
      </c>
      <c r="AH12" s="52">
        <v>6</v>
      </c>
    </row>
    <row r="13" spans="1:34">
      <c r="A13" s="52" t="s">
        <v>32</v>
      </c>
      <c r="B13" s="52" t="s">
        <v>29</v>
      </c>
      <c r="C13" s="52" t="s">
        <v>15</v>
      </c>
      <c r="D13" s="52" t="s">
        <v>30</v>
      </c>
      <c r="E13" s="53">
        <v>936.636541348798</v>
      </c>
      <c r="F13" s="53">
        <v>924.727294962066</v>
      </c>
      <c r="G13" s="53">
        <v>967.815864415991</v>
      </c>
      <c r="H13" s="53">
        <v>1111.17135087887</v>
      </c>
      <c r="I13" s="53">
        <v>1199.82524528546</v>
      </c>
      <c r="J13" s="53">
        <v>1197.74616979415</v>
      </c>
      <c r="K13" s="53">
        <v>1230.43056838584</v>
      </c>
      <c r="L13" s="53">
        <v>1367.53817722326</v>
      </c>
      <c r="M13" s="53">
        <v>1583.97066701372</v>
      </c>
      <c r="N13" s="53">
        <v>1540.45393569596</v>
      </c>
      <c r="O13" s="53">
        <v>1553.54887048143</v>
      </c>
      <c r="P13" s="53">
        <v>1596.62826565998</v>
      </c>
      <c r="Q13" s="53">
        <v>1546.9460184731</v>
      </c>
      <c r="R13" s="53">
        <v>1786.15862031324</v>
      </c>
      <c r="S13" s="53">
        <v>1991.36539423404</v>
      </c>
      <c r="T13" s="53">
        <v>1814.71855088017</v>
      </c>
      <c r="U13" s="53">
        <v>1862.59597081287</v>
      </c>
      <c r="V13" s="53">
        <v>1964.29930338343</v>
      </c>
      <c r="W13" s="53">
        <v>2130.86619381144</v>
      </c>
      <c r="X13" s="53">
        <v>2141.76836170115</v>
      </c>
      <c r="Y13" s="53">
        <v>2179.72934832935</v>
      </c>
      <c r="Z13" s="53">
        <v>2455.98127641148</v>
      </c>
      <c r="AA13" s="53">
        <v>2333.37128301259</v>
      </c>
      <c r="AB13" s="53">
        <v>2591.9659048119</v>
      </c>
      <c r="AC13" s="53">
        <v>2727.8935220697</v>
      </c>
      <c r="AD13" s="53">
        <v>3050.10202257321</v>
      </c>
      <c r="AE13" s="52">
        <v>2025</v>
      </c>
      <c r="AF13" s="53">
        <v>3050.10202257321</v>
      </c>
      <c r="AG13" s="53">
        <v>39.93030946300537</v>
      </c>
      <c r="AH13" s="52">
        <v>1</v>
      </c>
    </row>
    <row r="14" spans="1:34">
      <c r="A14" s="52" t="s">
        <v>33</v>
      </c>
      <c r="B14" s="52" t="s">
        <v>29</v>
      </c>
      <c r="C14" s="52" t="s">
        <v>17</v>
      </c>
      <c r="D14" s="52" t="s">
        <v>30</v>
      </c>
      <c r="E14" s="53">
        <v>316.945495037639</v>
      </c>
      <c r="F14" s="53">
        <v>327.138431972397</v>
      </c>
      <c r="G14" s="53">
        <v>362.034574570354</v>
      </c>
      <c r="H14" s="53">
        <v>419.78486611807</v>
      </c>
      <c r="I14" s="53">
        <v>431.376557669634</v>
      </c>
      <c r="J14" s="53">
        <v>463.073962650452</v>
      </c>
      <c r="K14" s="53">
        <v>448.513075469701</v>
      </c>
      <c r="L14" s="53">
        <v>519.069789794741</v>
      </c>
      <c r="M14" s="53">
        <v>640.210331101753</v>
      </c>
      <c r="N14" s="53">
        <v>583.190020139094</v>
      </c>
      <c r="O14" s="53">
        <v>600.194298540768</v>
      </c>
      <c r="P14" s="53">
        <v>719.539573498937</v>
      </c>
      <c r="Q14" s="53">
        <v>635.461653303881</v>
      </c>
      <c r="R14" s="53">
        <v>654.304534409417</v>
      </c>
      <c r="S14" s="53">
        <v>652.022501029449</v>
      </c>
      <c r="T14" s="53">
        <v>645.066837207039</v>
      </c>
      <c r="U14" s="53">
        <v>679.665386626818</v>
      </c>
      <c r="V14" s="53">
        <v>783.123186602022</v>
      </c>
      <c r="W14" s="53">
        <v>808.531613218504</v>
      </c>
      <c r="X14" s="53">
        <v>811.210004050041</v>
      </c>
      <c r="Y14" s="53">
        <v>846.918134967613</v>
      </c>
      <c r="Z14" s="53">
        <v>926.54619187706</v>
      </c>
      <c r="AA14" s="53">
        <v>881.602654162231</v>
      </c>
      <c r="AB14" s="53">
        <v>964.4318326653949</v>
      </c>
      <c r="AC14" s="53">
        <v>998.3760933926879</v>
      </c>
      <c r="AD14" s="53">
        <v>1123.76679992349</v>
      </c>
      <c r="AE14" s="52">
        <v>2025</v>
      </c>
      <c r="AF14" s="53">
        <v>1123.76679992349</v>
      </c>
      <c r="AG14" s="53">
        <v>32.68895227594388</v>
      </c>
      <c r="AH14" s="52">
        <v>7</v>
      </c>
    </row>
    <row r="15" spans="1:34">
      <c r="A15" s="52" t="s">
        <v>34</v>
      </c>
      <c r="B15" s="52" t="s">
        <v>29</v>
      </c>
      <c r="C15" s="52" t="s">
        <v>19</v>
      </c>
      <c r="D15" s="52" t="s">
        <v>30</v>
      </c>
      <c r="E15" s="53">
        <v>304.652870189314</v>
      </c>
      <c r="F15" s="53">
        <v>346.224554248587</v>
      </c>
      <c r="G15" s="53">
        <v>378.191678628068</v>
      </c>
      <c r="H15" s="53">
        <v>441.910358475171</v>
      </c>
      <c r="I15" s="53">
        <v>495.006294675661</v>
      </c>
      <c r="J15" s="53">
        <v>548.730382848879</v>
      </c>
      <c r="K15" s="53">
        <v>586.985415512593</v>
      </c>
      <c r="L15" s="53">
        <v>670.853394978069</v>
      </c>
      <c r="M15" s="53">
        <v>767.194838946144</v>
      </c>
      <c r="N15" s="53">
        <v>787.48256428259</v>
      </c>
      <c r="O15" s="53">
        <v>797.151541141189</v>
      </c>
      <c r="P15" s="53">
        <v>938.292902579598</v>
      </c>
      <c r="Q15" s="53">
        <v>872.5060924639459</v>
      </c>
      <c r="R15" s="53">
        <v>901.920957649814</v>
      </c>
      <c r="S15" s="53">
        <v>947.915033293219</v>
      </c>
      <c r="T15" s="53">
        <v>838.11986940103</v>
      </c>
      <c r="U15" s="53">
        <v>872.468587171653</v>
      </c>
      <c r="V15" s="53">
        <v>924.057531692284</v>
      </c>
      <c r="W15" s="53">
        <v>996.379292136901</v>
      </c>
      <c r="X15" s="53">
        <v>971.949318638092</v>
      </c>
      <c r="Y15" s="53">
        <v>953.242943290974</v>
      </c>
      <c r="Z15" s="53">
        <v>1027.27345365357</v>
      </c>
      <c r="AA15" s="53">
        <v>976.914116406452</v>
      </c>
      <c r="AB15" s="53">
        <v>1042.44223444837</v>
      </c>
      <c r="AC15" s="53">
        <v>1093.2523323649</v>
      </c>
      <c r="AD15" s="53">
        <v>1193.27601004701</v>
      </c>
      <c r="AE15" s="52">
        <v>2025</v>
      </c>
      <c r="AF15" s="53">
        <v>1193.27601004701</v>
      </c>
      <c r="AG15" s="53">
        <v>25.18068121515238</v>
      </c>
      <c r="AH15" s="52">
        <v>5</v>
      </c>
    </row>
    <row r="16" spans="1:34">
      <c r="A16" s="52" t="s">
        <v>35</v>
      </c>
      <c r="B16" s="52" t="s">
        <v>29</v>
      </c>
      <c r="C16" s="52" t="s">
        <v>21</v>
      </c>
      <c r="D16" s="52" t="s">
        <v>30</v>
      </c>
      <c r="E16" s="53">
        <v>194.771959898935</v>
      </c>
      <c r="F16" s="53">
        <v>205.417936120931</v>
      </c>
      <c r="G16" s="53">
        <v>225.294391147438</v>
      </c>
      <c r="H16" s="53">
        <v>265.225363452469</v>
      </c>
      <c r="I16" s="53">
        <v>283.468281798296</v>
      </c>
      <c r="J16" s="53">
        <v>318.643121918273</v>
      </c>
      <c r="K16" s="53">
        <v>333.345078419447</v>
      </c>
      <c r="L16" s="53">
        <v>387.168065883301</v>
      </c>
      <c r="M16" s="53">
        <v>475.044955398162</v>
      </c>
      <c r="N16" s="53">
        <v>461.131533961487</v>
      </c>
      <c r="O16" s="53">
        <v>474.425692340831</v>
      </c>
      <c r="P16" s="53">
        <v>510.75956176268</v>
      </c>
      <c r="Q16" s="53">
        <v>528.5101044696549</v>
      </c>
      <c r="R16" s="53">
        <v>552.103334363117</v>
      </c>
      <c r="S16" s="53">
        <v>565.30989731175</v>
      </c>
      <c r="T16" s="53">
        <v>485.662574175279</v>
      </c>
      <c r="U16" s="53">
        <v>499.910520068193</v>
      </c>
      <c r="V16" s="53">
        <v>529.929418934868</v>
      </c>
      <c r="W16" s="53">
        <v>576.927536415462</v>
      </c>
      <c r="X16" s="53">
        <v>541.265819870273</v>
      </c>
      <c r="Y16" s="53">
        <v>575.451340306915</v>
      </c>
      <c r="Z16" s="53">
        <v>609.585703670137</v>
      </c>
      <c r="AA16" s="53">
        <v>613.614736429298</v>
      </c>
      <c r="AB16" s="53">
        <v>647.930108509567</v>
      </c>
      <c r="AC16" s="53">
        <v>729.856664168989</v>
      </c>
      <c r="AD16" s="53">
        <v>775.353622143879</v>
      </c>
      <c r="AE16" s="52">
        <v>2025</v>
      </c>
      <c r="AF16" s="53">
        <v>775.353622143879</v>
      </c>
      <c r="AG16" s="53">
        <v>34.73834672630127</v>
      </c>
      <c r="AH16" s="52">
        <v>8</v>
      </c>
    </row>
    <row r="17" spans="1:34">
      <c r="A17" s="52" t="s">
        <v>36</v>
      </c>
      <c r="B17" s="52" t="s">
        <v>29</v>
      </c>
      <c r="C17" s="52" t="s">
        <v>23</v>
      </c>
      <c r="D17" s="52" t="s">
        <v>30</v>
      </c>
      <c r="E17" s="53">
        <v>603.233162455158</v>
      </c>
      <c r="F17" s="53">
        <v>637.213530563724</v>
      </c>
      <c r="G17" s="53">
        <v>669.430447319209</v>
      </c>
      <c r="H17" s="53">
        <v>817.888034221442</v>
      </c>
      <c r="I17" s="53">
        <v>918.102079522155</v>
      </c>
      <c r="J17" s="53">
        <v>979.846101520171</v>
      </c>
      <c r="K17" s="53">
        <v>1017.20196747987</v>
      </c>
      <c r="L17" s="53">
        <v>1188.93877808175</v>
      </c>
      <c r="M17" s="53">
        <v>1398.79218010021</v>
      </c>
      <c r="N17" s="53">
        <v>1308.69404336205</v>
      </c>
      <c r="O17" s="53">
        <v>1275.88357492357</v>
      </c>
      <c r="P17" s="53">
        <v>1374.67591873844</v>
      </c>
      <c r="Q17" s="53">
        <v>1326.83798848379</v>
      </c>
      <c r="R17" s="53">
        <v>1379.83196553924</v>
      </c>
      <c r="S17" s="53">
        <v>1398.89137601382</v>
      </c>
      <c r="T17" s="53">
        <v>1218.00613555438</v>
      </c>
      <c r="U17" s="53">
        <v>1266.43957151587</v>
      </c>
      <c r="V17" s="53">
        <v>1354.77007193387</v>
      </c>
      <c r="W17" s="53">
        <v>1452.55612562445</v>
      </c>
      <c r="X17" s="53">
        <v>1431.18128932159</v>
      </c>
      <c r="Y17" s="53">
        <v>1461.08720350553</v>
      </c>
      <c r="Z17" s="53">
        <v>1598.10676952274</v>
      </c>
      <c r="AA17" s="53">
        <v>1574.0281059306</v>
      </c>
      <c r="AB17" s="53">
        <v>1698.03387300843</v>
      </c>
      <c r="AC17" s="53">
        <v>1738.73223822106</v>
      </c>
      <c r="AD17" s="53">
        <v>1954.71174194867</v>
      </c>
      <c r="AE17" s="52">
        <v>2025</v>
      </c>
      <c r="AF17" s="53">
        <v>1954.71174194867</v>
      </c>
      <c r="AG17" s="53">
        <v>33.78474174976043</v>
      </c>
      <c r="AH17" s="52">
        <v>2</v>
      </c>
    </row>
    <row r="18" spans="1:34">
      <c r="A18" s="52" t="s">
        <v>37</v>
      </c>
      <c r="B18" s="52" t="s">
        <v>29</v>
      </c>
      <c r="C18" s="52" t="s">
        <v>25</v>
      </c>
      <c r="D18" s="52" t="s">
        <v>30</v>
      </c>
      <c r="E18" s="53">
        <v>440.420399069497</v>
      </c>
      <c r="F18" s="53">
        <v>426.883605884489</v>
      </c>
      <c r="G18" s="53">
        <v>479.438373869587</v>
      </c>
      <c r="H18" s="53">
        <v>579.728195854724</v>
      </c>
      <c r="I18" s="53">
        <v>604.311329116751</v>
      </c>
      <c r="J18" s="53">
        <v>595.200212014134</v>
      </c>
      <c r="K18" s="53">
        <v>596.249203137762</v>
      </c>
      <c r="L18" s="53">
        <v>654.083697666439</v>
      </c>
      <c r="M18" s="53">
        <v>771.351190404751</v>
      </c>
      <c r="N18" s="53">
        <v>770.172869777254</v>
      </c>
      <c r="O18" s="53">
        <v>750.323421086121</v>
      </c>
      <c r="P18" s="53">
        <v>834.14671980279</v>
      </c>
      <c r="Q18" s="53">
        <v>813.611525037432</v>
      </c>
      <c r="R18" s="53">
        <v>885.698522723929</v>
      </c>
      <c r="S18" s="53">
        <v>921.539748631461</v>
      </c>
      <c r="T18" s="53">
        <v>813.894676975085</v>
      </c>
      <c r="U18" s="53">
        <v>843.114204338675</v>
      </c>
      <c r="V18" s="53">
        <v>872.076408845752</v>
      </c>
      <c r="W18" s="53">
        <v>942.480774393154</v>
      </c>
      <c r="X18" s="53">
        <v>917.718016777619</v>
      </c>
      <c r="Y18" s="53">
        <v>961.219781201934</v>
      </c>
      <c r="Z18" s="53">
        <v>1076.29520076949</v>
      </c>
      <c r="AA18" s="53">
        <v>1071.61539220759</v>
      </c>
      <c r="AB18" s="53">
        <v>1182.32951436696</v>
      </c>
      <c r="AC18" s="53">
        <v>1266.08777721447</v>
      </c>
      <c r="AD18" s="53">
        <v>1383.89974929887</v>
      </c>
      <c r="AE18" s="52">
        <v>2025</v>
      </c>
      <c r="AF18" s="53">
        <v>1383.89974929887</v>
      </c>
      <c r="AG18" s="53">
        <v>43.97329064206377</v>
      </c>
      <c r="AH18" s="52">
        <v>4</v>
      </c>
    </row>
    <row r="19" spans="1:34">
      <c r="A19" s="52" t="s">
        <v>38</v>
      </c>
      <c r="B19" s="52" t="s">
        <v>29</v>
      </c>
      <c r="C19" s="52" t="s">
        <v>27</v>
      </c>
      <c r="D19" s="52" t="s">
        <v>30</v>
      </c>
      <c r="E19" s="53">
        <v>441.6241370381669</v>
      </c>
      <c r="F19" s="53">
        <v>452.4365095802128</v>
      </c>
      <c r="G19" s="53">
        <v>489.2904059057924</v>
      </c>
      <c r="H19" s="53">
        <v>584.2606183852477</v>
      </c>
      <c r="I19" s="53">
        <v>636.8248036611172</v>
      </c>
      <c r="J19" s="53">
        <v>665.4802345644174</v>
      </c>
      <c r="K19" s="53">
        <v>684.6732545664322</v>
      </c>
      <c r="L19" s="53">
        <v>776.8343252491425</v>
      </c>
      <c r="M19" s="53">
        <v>914.5755301552492</v>
      </c>
      <c r="N19" s="53">
        <v>884.5996583089268</v>
      </c>
      <c r="O19" s="53">
        <v>881.2161132087751</v>
      </c>
      <c r="P19" s="53">
        <v>969.8101622867225</v>
      </c>
      <c r="Q19" s="53">
        <v>940.8586697159922</v>
      </c>
      <c r="R19" s="53">
        <v>1011.088374119939</v>
      </c>
      <c r="S19" s="53">
        <v>1055.788101540113</v>
      </c>
      <c r="T19" s="53">
        <v>931.0015329676794</v>
      </c>
      <c r="U19" s="53">
        <v>962.3088126970331</v>
      </c>
      <c r="V19" s="53">
        <v>1024.040192244383</v>
      </c>
      <c r="W19" s="53">
        <v>1104.618515557645</v>
      </c>
      <c r="X19" s="53">
        <v>1088.845905191458</v>
      </c>
      <c r="Y19" s="53">
        <v>1125.385006995335</v>
      </c>
      <c r="Z19" s="53">
        <v>1238.496933137431</v>
      </c>
      <c r="AA19" s="53">
        <v>1193.113030244308</v>
      </c>
      <c r="AB19" s="53">
        <v>1299.313672087397</v>
      </c>
      <c r="AC19" s="53">
        <v>1377.758989587697</v>
      </c>
      <c r="AD19" s="53">
        <v>1535.869298615131</v>
      </c>
      <c r="AE19" s="52">
        <v>2025</v>
      </c>
      <c r="AF19" s="53">
        <v>1535.869298615131</v>
      </c>
      <c r="AG19" s="53">
        <v>35.94037257942263</v>
      </c>
      <c r="AH19" s="52"/>
    </row>
    <row r="20" spans="1:34">
      <c r="A20" s="52" t="s">
        <v>39</v>
      </c>
      <c r="B20" s="52" t="s">
        <v>40</v>
      </c>
      <c r="C20" s="52" t="s">
        <v>10</v>
      </c>
      <c r="D20" s="52" t="s">
        <v>41</v>
      </c>
      <c r="E20" s="53">
        <v>4.16540442290283</v>
      </c>
      <c r="F20" s="53">
        <v>3.98429547767893</v>
      </c>
      <c r="G20" s="53">
        <v>2.48916235491541</v>
      </c>
      <c r="H20" s="53">
        <v>1.48724246145442</v>
      </c>
      <c r="I20" s="53">
        <v>0.8738908308684999</v>
      </c>
      <c r="J20" s="53">
        <v>5.36452085832342</v>
      </c>
      <c r="K20" s="53">
        <v>3.78217696540375</v>
      </c>
      <c r="L20" s="53">
        <v>1.29806813334152</v>
      </c>
      <c r="M20" s="53">
        <v>7.94729876067854</v>
      </c>
      <c r="N20" s="53">
        <v>0.896072355749069</v>
      </c>
      <c r="O20" s="53">
        <v>2.20783532536524</v>
      </c>
      <c r="P20" s="53">
        <v>2.7042390774728</v>
      </c>
      <c r="Q20" s="53">
        <v>6.74468253340712</v>
      </c>
      <c r="R20" s="53">
        <v>0.428888888888884</v>
      </c>
      <c r="S20" s="53">
        <v>-0.548757550948181</v>
      </c>
      <c r="T20" s="53">
        <v>0.218785923536245</v>
      </c>
      <c r="U20" s="53">
        <v>-0.793310145785624</v>
      </c>
      <c r="V20" s="53">
        <v>0.0432648555103608</v>
      </c>
      <c r="W20" s="53">
        <v>0.919170717886054</v>
      </c>
      <c r="X20" s="53">
        <v>0.732849371241066</v>
      </c>
      <c r="Y20" s="53">
        <v>3.02272119663759</v>
      </c>
      <c r="Z20" s="53">
        <v>1.73353962694036</v>
      </c>
      <c r="AA20" s="53">
        <v>1.35077863583527</v>
      </c>
      <c r="AB20" s="53">
        <v>2.73870078406075</v>
      </c>
      <c r="AC20" s="53">
        <v>1.16093089640415</v>
      </c>
      <c r="AD20" s="53">
        <v>1.10155247902978</v>
      </c>
      <c r="AE20" s="52">
        <v>2025</v>
      </c>
      <c r="AF20" s="53">
        <v>1.10155247902978</v>
      </c>
      <c r="AG20" s="53">
        <v>-1.92116871760781</v>
      </c>
      <c r="AH20" s="52">
        <v>3</v>
      </c>
    </row>
    <row r="21" spans="1:34">
      <c r="A21" s="52" t="s">
        <v>42</v>
      </c>
      <c r="B21" s="52" t="s">
        <v>40</v>
      </c>
      <c r="C21" s="52" t="s">
        <v>13</v>
      </c>
      <c r="D21" s="52" t="s">
        <v>41</v>
      </c>
      <c r="E21" s="53">
        <v>-0.304212168486803</v>
      </c>
      <c r="F21" s="53">
        <v>5.00743290822373</v>
      </c>
      <c r="G21" s="53">
        <v>2.17569480664608</v>
      </c>
      <c r="H21" s="53">
        <v>2.03456574053815</v>
      </c>
      <c r="I21" s="53">
        <v>-0.400228702115452</v>
      </c>
      <c r="J21" s="53">
        <v>6.41504018369684</v>
      </c>
      <c r="K21" s="53">
        <v>2.3331085637222</v>
      </c>
      <c r="L21" s="53">
        <v>-0.230627306273049</v>
      </c>
      <c r="M21" s="53">
        <v>10.6597978997424</v>
      </c>
      <c r="N21" s="53">
        <v>2.60817666368314</v>
      </c>
      <c r="O21" s="53">
        <v>-0.7642307346767681</v>
      </c>
      <c r="P21" s="53">
        <v>2.75976724854534</v>
      </c>
      <c r="Q21" s="53">
        <v>3.8181524025238</v>
      </c>
      <c r="R21" s="53">
        <v>0.5337385070905361</v>
      </c>
      <c r="S21" s="53">
        <v>-0.258089517535291</v>
      </c>
      <c r="T21" s="53">
        <v>0.724838981070517</v>
      </c>
      <c r="U21" s="53">
        <v>0.441041448058809</v>
      </c>
      <c r="V21" s="53">
        <v>1.48299897161326</v>
      </c>
      <c r="W21" s="53">
        <v>1.95594302672532</v>
      </c>
      <c r="X21" s="53">
        <v>-3.23338933983322</v>
      </c>
      <c r="Y21" s="53">
        <v>1.88470066518847</v>
      </c>
      <c r="Z21" s="53">
        <v>3.65326761825509</v>
      </c>
      <c r="AA21" s="53">
        <v>14.2902354303358</v>
      </c>
      <c r="AB21" s="53">
        <v>0.742910428668918</v>
      </c>
      <c r="AC21" s="53">
        <v>4.19081721344523</v>
      </c>
      <c r="AD21" s="53">
        <v>-0.586235316330579</v>
      </c>
      <c r="AE21" s="52">
        <v>2025</v>
      </c>
      <c r="AF21" s="53">
        <v>-0.586235316330579</v>
      </c>
      <c r="AG21" s="53">
        <v>-2.470935981519049</v>
      </c>
      <c r="AH21" s="52">
        <v>7</v>
      </c>
    </row>
    <row r="22" spans="1:34">
      <c r="A22" s="52" t="s">
        <v>43</v>
      </c>
      <c r="B22" s="52" t="s">
        <v>40</v>
      </c>
      <c r="C22" s="52" t="s">
        <v>15</v>
      </c>
      <c r="D22" s="52" t="s">
        <v>41</v>
      </c>
      <c r="E22" s="53">
        <v>2.53077516737997</v>
      </c>
      <c r="F22" s="53">
        <v>4.36152914007256</v>
      </c>
      <c r="G22" s="53">
        <v>3.07726485157427</v>
      </c>
      <c r="H22" s="53">
        <v>3.29680746974208</v>
      </c>
      <c r="I22" s="53">
        <v>1.45798835600741</v>
      </c>
      <c r="J22" s="53">
        <v>3.88583039886482</v>
      </c>
      <c r="K22" s="53">
        <v>2.46719148596915</v>
      </c>
      <c r="L22" s="53">
        <v>1.89200629349598</v>
      </c>
      <c r="M22" s="53">
        <v>6.30852769152578</v>
      </c>
      <c r="N22" s="53">
        <v>1.01950457731138</v>
      </c>
      <c r="O22" s="53">
        <v>1.2264561213548</v>
      </c>
      <c r="P22" s="53">
        <v>4.9124339505245</v>
      </c>
      <c r="Q22" s="53">
        <v>1.30451119915606</v>
      </c>
      <c r="R22" s="53">
        <v>2.58117037252936</v>
      </c>
      <c r="S22" s="53">
        <v>0.448682076766141</v>
      </c>
      <c r="T22" s="53">
        <v>1.25149954781468</v>
      </c>
      <c r="U22" s="53">
        <v>0.723178457513308</v>
      </c>
      <c r="V22" s="53">
        <v>0.685881065304603</v>
      </c>
      <c r="W22" s="53">
        <v>0.401297817263547</v>
      </c>
      <c r="X22" s="53">
        <v>0.790855512053661</v>
      </c>
      <c r="Y22" s="53">
        <v>2.41252617189053</v>
      </c>
      <c r="Z22" s="53">
        <v>4.15919657911798</v>
      </c>
      <c r="AA22" s="53">
        <v>5.23352856100843</v>
      </c>
      <c r="AB22" s="53">
        <v>4.36972254867474</v>
      </c>
      <c r="AC22" s="53">
        <v>3.45053028131019</v>
      </c>
      <c r="AD22" s="53">
        <v>0.125038772593104</v>
      </c>
      <c r="AE22" s="52">
        <v>2025</v>
      </c>
      <c r="AF22" s="53">
        <v>0.125038772593104</v>
      </c>
      <c r="AG22" s="53">
        <v>-2.287487399297426</v>
      </c>
      <c r="AH22" s="52">
        <v>6</v>
      </c>
    </row>
    <row r="23" spans="1:34">
      <c r="A23" s="52" t="s">
        <v>44</v>
      </c>
      <c r="B23" s="52" t="s">
        <v>40</v>
      </c>
      <c r="C23" s="52" t="s">
        <v>17</v>
      </c>
      <c r="D23" s="52" t="s">
        <v>41</v>
      </c>
      <c r="E23" s="53">
        <v>8.63632094930278</v>
      </c>
      <c r="F23" s="53">
        <v>3.34812265527108</v>
      </c>
      <c r="G23" s="53">
        <v>3.30012175283752</v>
      </c>
      <c r="H23" s="53">
        <v>-3.50258551103421</v>
      </c>
      <c r="I23" s="53">
        <v>0.883302696930943</v>
      </c>
      <c r="J23" s="53">
        <v>3.32919922802856</v>
      </c>
      <c r="K23" s="53">
        <v>1.95473717628916</v>
      </c>
      <c r="L23" s="53">
        <v>4.61743772241997</v>
      </c>
      <c r="M23" s="53">
        <v>10.4600731354706</v>
      </c>
      <c r="N23" s="53">
        <v>-1.65139733620775</v>
      </c>
      <c r="O23" s="53">
        <v>2.51785140171701</v>
      </c>
      <c r="P23" s="53">
        <v>5.046102263202</v>
      </c>
      <c r="Q23" s="53">
        <v>2.13054580274503</v>
      </c>
      <c r="R23" s="53">
        <v>1.20712555668405</v>
      </c>
      <c r="S23" s="53">
        <v>-1.50924460570494</v>
      </c>
      <c r="T23" s="53">
        <v>1.47672048910485</v>
      </c>
      <c r="U23" s="53">
        <v>1.50312055861088</v>
      </c>
      <c r="V23" s="53">
        <v>1.69111461822298</v>
      </c>
      <c r="W23" s="53">
        <v>0.381324702790992</v>
      </c>
      <c r="X23" s="53">
        <v>0.24660026814783</v>
      </c>
      <c r="Y23" s="53">
        <v>1.14000939393222</v>
      </c>
      <c r="Z23" s="53">
        <v>2.24248879577658</v>
      </c>
      <c r="AA23" s="53">
        <v>9.39075933985203</v>
      </c>
      <c r="AB23" s="53">
        <v>7.10220928557059</v>
      </c>
      <c r="AC23" s="53">
        <v>3.76555825770114</v>
      </c>
      <c r="AD23" s="53">
        <v>0.874929691038717</v>
      </c>
      <c r="AE23" s="52">
        <v>2025</v>
      </c>
      <c r="AF23" s="53">
        <v>0.874929691038717</v>
      </c>
      <c r="AG23" s="53">
        <v>-0.265079702893503</v>
      </c>
      <c r="AH23" s="52">
        <v>4</v>
      </c>
    </row>
    <row r="24" spans="1:34">
      <c r="A24" s="52" t="s">
        <v>45</v>
      </c>
      <c r="B24" s="52" t="s">
        <v>40</v>
      </c>
      <c r="C24" s="52" t="s">
        <v>19</v>
      </c>
      <c r="D24" s="52" t="s">
        <v>41</v>
      </c>
      <c r="E24" s="53">
        <v>-0.677661659046769</v>
      </c>
      <c r="F24" s="53">
        <v>5.18701191944068</v>
      </c>
      <c r="G24" s="53">
        <v>5.03282275711194</v>
      </c>
      <c r="H24" s="53">
        <v>-1.34672619047621</v>
      </c>
      <c r="I24" s="53">
        <v>-3.09978128063957</v>
      </c>
      <c r="J24" s="53">
        <v>6.39788293897883</v>
      </c>
      <c r="K24" s="53">
        <v>1.54352596927582</v>
      </c>
      <c r="L24" s="53">
        <v>1.41200201714577</v>
      </c>
      <c r="M24" s="53">
        <v>9.17098813667678</v>
      </c>
      <c r="N24" s="53">
        <v>2.46375188572299</v>
      </c>
      <c r="O24" s="53">
        <v>1.10892690670186</v>
      </c>
      <c r="P24" s="53">
        <v>2.95564395229392</v>
      </c>
      <c r="Q24" s="53">
        <v>5.32312847064058</v>
      </c>
      <c r="R24" s="53">
        <v>-0.606736356351563</v>
      </c>
      <c r="S24" s="53">
        <v>0.883814547137841</v>
      </c>
      <c r="T24" s="53">
        <v>1.45069057605961</v>
      </c>
      <c r="U24" s="53">
        <v>-1.79964707083386</v>
      </c>
      <c r="V24" s="53">
        <v>1.75985742927165</v>
      </c>
      <c r="W24" s="53">
        <v>0.299546507387843</v>
      </c>
      <c r="X24" s="53">
        <v>-1.65826694846365</v>
      </c>
      <c r="Y24" s="53">
        <v>0.438088940320669</v>
      </c>
      <c r="Z24" s="53">
        <v>3.92560283104277</v>
      </c>
      <c r="AA24" s="53">
        <v>9.62147608489064</v>
      </c>
      <c r="AB24" s="53">
        <v>2.05880228274223</v>
      </c>
      <c r="AC24" s="53">
        <v>3.2063986409966</v>
      </c>
      <c r="AD24" s="53">
        <v>3.27823540357584</v>
      </c>
      <c r="AE24" s="52">
        <v>2025</v>
      </c>
      <c r="AF24" s="53">
        <v>3.27823540357584</v>
      </c>
      <c r="AG24" s="53">
        <v>2.840146463255171</v>
      </c>
      <c r="AH24" s="52">
        <v>1</v>
      </c>
    </row>
    <row r="25" spans="1:34">
      <c r="A25" s="52" t="s">
        <v>46</v>
      </c>
      <c r="B25" s="52" t="s">
        <v>40</v>
      </c>
      <c r="C25" s="52" t="s">
        <v>21</v>
      </c>
      <c r="D25" s="52" t="s">
        <v>41</v>
      </c>
      <c r="E25" s="53">
        <v>2.90014973599108</v>
      </c>
      <c r="F25" s="53">
        <v>4.00551428352678</v>
      </c>
      <c r="G25" s="53">
        <v>2.62886597938136</v>
      </c>
      <c r="H25" s="53">
        <v>-1.61440769175596</v>
      </c>
      <c r="I25" s="53">
        <v>0.262543757292838</v>
      </c>
      <c r="J25" s="53">
        <v>7.7974978178644</v>
      </c>
      <c r="K25" s="53">
        <v>0.0404858299595074</v>
      </c>
      <c r="L25" s="53">
        <v>0.0539592607581562</v>
      </c>
      <c r="M25" s="53">
        <v>11.3051098827019</v>
      </c>
      <c r="N25" s="53">
        <v>0.5829065908011219</v>
      </c>
      <c r="O25" s="53">
        <v>0.8040730808826591</v>
      </c>
      <c r="P25" s="53">
        <v>2.9423851401332</v>
      </c>
      <c r="Q25" s="53">
        <v>0.455089820359289</v>
      </c>
      <c r="R25" s="53">
        <v>2.29723114955317</v>
      </c>
      <c r="S25" s="53">
        <v>-0.930287259984466</v>
      </c>
      <c r="T25" s="53">
        <v>-0.576090369833189</v>
      </c>
      <c r="U25" s="53">
        <v>1.65388922387806</v>
      </c>
      <c r="V25" s="53">
        <v>2.79637318871284</v>
      </c>
      <c r="W25" s="53">
        <v>2.96760366004456</v>
      </c>
      <c r="X25" s="53">
        <v>-2.48979265070855</v>
      </c>
      <c r="Y25" s="53">
        <v>2.8981937602627</v>
      </c>
      <c r="Z25" s="53">
        <v>3.8378680284051</v>
      </c>
      <c r="AA25" s="53">
        <v>4.22621791916392</v>
      </c>
      <c r="AB25" s="53">
        <v>3.70097316425834</v>
      </c>
      <c r="AC25" s="53">
        <v>9.07151997725013</v>
      </c>
      <c r="AD25" s="53">
        <v>-4.45470804102568</v>
      </c>
      <c r="AE25" s="52">
        <v>2025</v>
      </c>
      <c r="AF25" s="53">
        <v>-4.45470804102568</v>
      </c>
      <c r="AG25" s="53">
        <v>-7.35290180128838</v>
      </c>
      <c r="AH25" s="52">
        <v>8</v>
      </c>
    </row>
    <row r="26" spans="1:34">
      <c r="A26" s="52" t="s">
        <v>47</v>
      </c>
      <c r="B26" s="52" t="s">
        <v>40</v>
      </c>
      <c r="C26" s="52" t="s">
        <v>23</v>
      </c>
      <c r="D26" s="52" t="s">
        <v>41</v>
      </c>
      <c r="E26" s="53">
        <v>0.731981981981597</v>
      </c>
      <c r="F26" s="53">
        <v>2.97450083919566</v>
      </c>
      <c r="G26" s="53">
        <v>2.33730187454299</v>
      </c>
      <c r="H26" s="53">
        <v>-0.0519970242714495</v>
      </c>
      <c r="I26" s="53">
        <v>0.514781781023016</v>
      </c>
      <c r="J26" s="53">
        <v>1.71133325855502</v>
      </c>
      <c r="K26" s="53">
        <v>2.11228583877117</v>
      </c>
      <c r="L26" s="53">
        <v>5.85330428467681</v>
      </c>
      <c r="M26" s="53">
        <v>7.34720236578406</v>
      </c>
      <c r="N26" s="53">
        <v>-2.2480214785534</v>
      </c>
      <c r="O26" s="53">
        <v>1.22868119673344</v>
      </c>
      <c r="P26" s="53">
        <v>3.40322829786971</v>
      </c>
      <c r="Q26" s="53">
        <v>1.41822871177854</v>
      </c>
      <c r="R26" s="53">
        <v>0.710245486695176</v>
      </c>
      <c r="S26" s="53">
        <v>-1.09025507446895</v>
      </c>
      <c r="T26" s="53">
        <v>0.135211933635165</v>
      </c>
      <c r="U26" s="53">
        <v>0.837284942557434</v>
      </c>
      <c r="V26" s="53">
        <v>1.31815314847789</v>
      </c>
      <c r="W26" s="53">
        <v>0.460985642464188</v>
      </c>
      <c r="X26" s="53">
        <v>1.76011151192939</v>
      </c>
      <c r="Y26" s="53">
        <v>2.54314685681662</v>
      </c>
      <c r="Z26" s="53">
        <v>2.18032278088147</v>
      </c>
      <c r="AA26" s="53">
        <v>9.69681899081073</v>
      </c>
      <c r="AB26" s="53">
        <v>5.93947798773215</v>
      </c>
      <c r="AC26" s="53">
        <v>0.804503298792438</v>
      </c>
      <c r="AD26" s="53">
        <v>1.45900719841385</v>
      </c>
      <c r="AE26" s="52">
        <v>2025</v>
      </c>
      <c r="AF26" s="53">
        <v>1.45900719841385</v>
      </c>
      <c r="AG26" s="53">
        <v>-1.08413965840277</v>
      </c>
      <c r="AH26" s="52">
        <v>2</v>
      </c>
    </row>
    <row r="27" spans="1:34">
      <c r="A27" s="52" t="s">
        <v>48</v>
      </c>
      <c r="B27" s="52" t="s">
        <v>40</v>
      </c>
      <c r="C27" s="52" t="s">
        <v>25</v>
      </c>
      <c r="D27" s="52" t="s">
        <v>41</v>
      </c>
      <c r="E27" s="53">
        <v>1.86260595463067</v>
      </c>
      <c r="F27" s="53">
        <v>3.91959133653146</v>
      </c>
      <c r="G27" s="53">
        <v>3.05981857535884</v>
      </c>
      <c r="H27" s="53">
        <v>-0.930000884072214</v>
      </c>
      <c r="I27" s="53">
        <v>0.393078681031669</v>
      </c>
      <c r="J27" s="53">
        <v>6.78292893028314</v>
      </c>
      <c r="K27" s="53">
        <v>2.22897779414027</v>
      </c>
      <c r="L27" s="53">
        <v>0.945673271705214</v>
      </c>
      <c r="M27" s="53">
        <v>8.69482814363902</v>
      </c>
      <c r="N27" s="53">
        <v>3.71360592035809</v>
      </c>
      <c r="O27" s="53">
        <v>1.44594517430864</v>
      </c>
      <c r="P27" s="53">
        <v>3.5635147290396</v>
      </c>
      <c r="Q27" s="53">
        <v>2.57718174055848</v>
      </c>
      <c r="R27" s="53">
        <v>1.82539475909162</v>
      </c>
      <c r="S27" s="53">
        <v>0.19087507624975</v>
      </c>
      <c r="T27" s="53">
        <v>2.58500390801595</v>
      </c>
      <c r="U27" s="53">
        <v>1.28544847051417</v>
      </c>
      <c r="V27" s="53">
        <v>-0.981889868943119</v>
      </c>
      <c r="W27" s="53">
        <v>0.927755426457183</v>
      </c>
      <c r="X27" s="53">
        <v>0.674652770077525</v>
      </c>
      <c r="Y27" s="53">
        <v>1.69928463299399</v>
      </c>
      <c r="Z27" s="53">
        <v>4.1862150652352</v>
      </c>
      <c r="AA27" s="53">
        <v>7.96757361617945</v>
      </c>
      <c r="AB27" s="53">
        <v>5.48928568141131</v>
      </c>
      <c r="AC27" s="53">
        <v>2.86262074089801</v>
      </c>
      <c r="AD27" s="53">
        <v>0.433183451279109</v>
      </c>
      <c r="AE27" s="52">
        <v>2025</v>
      </c>
      <c r="AF27" s="53">
        <v>0.433183451279109</v>
      </c>
      <c r="AG27" s="53">
        <v>-1.266101181714881</v>
      </c>
      <c r="AH27" s="52">
        <v>5</v>
      </c>
    </row>
    <row r="28" spans="1:34">
      <c r="A28" s="52" t="s">
        <v>49</v>
      </c>
      <c r="B28" s="52" t="s">
        <v>40</v>
      </c>
      <c r="C28" s="52" t="s">
        <v>27</v>
      </c>
      <c r="D28" s="52" t="s">
        <v>41</v>
      </c>
      <c r="E28" s="53">
        <v>2.480670548081919</v>
      </c>
      <c r="F28" s="53">
        <v>4.09849981999261</v>
      </c>
      <c r="G28" s="53">
        <v>3.012631619046051</v>
      </c>
      <c r="H28" s="53">
        <v>-0.07838770373442415</v>
      </c>
      <c r="I28" s="53">
        <v>0.1106970150499193</v>
      </c>
      <c r="J28" s="53">
        <v>5.210529201824379</v>
      </c>
      <c r="K28" s="53">
        <v>2.057811202941378</v>
      </c>
      <c r="L28" s="53">
        <v>1.980227959658796</v>
      </c>
      <c r="M28" s="53">
        <v>8.986728252027385</v>
      </c>
      <c r="N28" s="53">
        <v>0.92307489735808</v>
      </c>
      <c r="O28" s="53">
        <v>1.22194230904836</v>
      </c>
      <c r="P28" s="53">
        <v>3.535914332385134</v>
      </c>
      <c r="Q28" s="53">
        <v>2.971440085146113</v>
      </c>
      <c r="R28" s="53">
        <v>1.122132295522654</v>
      </c>
      <c r="S28" s="53">
        <v>-0.351657788561012</v>
      </c>
      <c r="T28" s="53">
        <v>0.9083326236754785</v>
      </c>
      <c r="U28" s="53">
        <v>0.4813757355641471</v>
      </c>
      <c r="V28" s="53">
        <v>1.099469176021308</v>
      </c>
      <c r="W28" s="53">
        <v>1.039203437627461</v>
      </c>
      <c r="X28" s="53">
        <v>-0.3970474381944936</v>
      </c>
      <c r="Y28" s="53">
        <v>2.004833952255348</v>
      </c>
      <c r="Z28" s="53">
        <v>3.239812665706819</v>
      </c>
      <c r="AA28" s="53">
        <v>7.722173572259534</v>
      </c>
      <c r="AB28" s="53">
        <v>4.017760270389878</v>
      </c>
      <c r="AC28" s="53">
        <v>3.564109913349736</v>
      </c>
      <c r="AD28" s="53">
        <v>0.2788754548217676</v>
      </c>
      <c r="AE28" s="52">
        <v>2025</v>
      </c>
      <c r="AF28" s="53">
        <v>0.2788754548217676</v>
      </c>
      <c r="AG28" s="53">
        <v>-1.725958497433581</v>
      </c>
      <c r="AH28" s="52"/>
    </row>
    <row r="29" spans="1:34">
      <c r="A29" s="52" t="s">
        <v>50</v>
      </c>
      <c r="B29" s="52" t="s">
        <v>51</v>
      </c>
      <c r="C29" s="52" t="s">
        <v>10</v>
      </c>
      <c r="D29" s="52" t="s">
        <v>52</v>
      </c>
      <c r="E29" s="53">
        <v>7.221619</v>
      </c>
      <c r="F29" s="53">
        <v>7.445596</v>
      </c>
      <c r="G29" s="53">
        <v>7.675426</v>
      </c>
      <c r="H29" s="53">
        <v>7.913069999999999</v>
      </c>
      <c r="I29" s="53">
        <v>8.159094</v>
      </c>
      <c r="J29" s="53">
        <v>8.426143999999999</v>
      </c>
      <c r="K29" s="53">
        <v>8.693242</v>
      </c>
      <c r="L29" s="53">
        <v>8.953968999999999</v>
      </c>
      <c r="M29" s="53">
        <v>9.228465999999999</v>
      </c>
      <c r="N29" s="53">
        <v>9.509423</v>
      </c>
      <c r="O29" s="53">
        <v>9.797483999999999</v>
      </c>
      <c r="P29" s="53">
        <v>10.093623</v>
      </c>
      <c r="Q29" s="53">
        <v>10.397657</v>
      </c>
      <c r="R29" s="53">
        <v>10.708834</v>
      </c>
      <c r="S29" s="53">
        <v>11.030004</v>
      </c>
      <c r="T29" s="53">
        <v>11.360681</v>
      </c>
      <c r="U29" s="53">
        <v>11.697842</v>
      </c>
      <c r="V29" s="53">
        <v>12.03978</v>
      </c>
      <c r="W29" s="53">
        <v>12.383347</v>
      </c>
      <c r="X29" s="53">
        <v>12.726755</v>
      </c>
      <c r="Y29" s="53">
        <v>13.070169</v>
      </c>
      <c r="Z29" s="53">
        <v>13.413417</v>
      </c>
      <c r="AA29" s="53">
        <v>13.759501</v>
      </c>
      <c r="AB29" s="53">
        <v>14.111034</v>
      </c>
      <c r="AC29" s="53">
        <v>14.462724</v>
      </c>
      <c r="AD29" s="53">
        <v>14.81446</v>
      </c>
      <c r="AE29" s="52">
        <v>2025</v>
      </c>
      <c r="AF29" s="53">
        <v>14.81446</v>
      </c>
      <c r="AG29" s="53">
        <v>13.34558872192089</v>
      </c>
      <c r="AH29" s="52">
        <v>6</v>
      </c>
    </row>
    <row r="30" spans="1:34">
      <c r="A30" s="52" t="s">
        <v>53</v>
      </c>
      <c r="B30" s="52" t="s">
        <v>51</v>
      </c>
      <c r="C30" s="52" t="s">
        <v>13</v>
      </c>
      <c r="D30" s="52" t="s">
        <v>52</v>
      </c>
      <c r="E30" s="53">
        <v>11.925546</v>
      </c>
      <c r="F30" s="53">
        <v>12.295001</v>
      </c>
      <c r="G30" s="53">
        <v>12.680897</v>
      </c>
      <c r="H30" s="53">
        <v>13.082532</v>
      </c>
      <c r="I30" s="53">
        <v>13.500533</v>
      </c>
      <c r="J30" s="53">
        <v>13.932123</v>
      </c>
      <c r="K30" s="53">
        <v>14.373707</v>
      </c>
      <c r="L30" s="53">
        <v>14.816307</v>
      </c>
      <c r="M30" s="53">
        <v>15.258093</v>
      </c>
      <c r="N30" s="53">
        <v>15.710066</v>
      </c>
      <c r="O30" s="53">
        <v>16.176498</v>
      </c>
      <c r="P30" s="53">
        <v>16.661908</v>
      </c>
      <c r="Q30" s="53">
        <v>17.172287</v>
      </c>
      <c r="R30" s="53">
        <v>17.695409</v>
      </c>
      <c r="S30" s="53">
        <v>18.229461</v>
      </c>
      <c r="T30" s="53">
        <v>18.777487</v>
      </c>
      <c r="U30" s="53">
        <v>19.334856</v>
      </c>
      <c r="V30" s="53">
        <v>19.894407</v>
      </c>
      <c r="W30" s="53">
        <v>20.438288</v>
      </c>
      <c r="X30" s="53">
        <v>20.961952</v>
      </c>
      <c r="Y30" s="53">
        <v>21.47869</v>
      </c>
      <c r="Z30" s="53">
        <v>21.995243</v>
      </c>
      <c r="AA30" s="53">
        <v>22.509038</v>
      </c>
      <c r="AB30" s="53">
        <v>23.025776</v>
      </c>
      <c r="AC30" s="53">
        <v>23.548781</v>
      </c>
      <c r="AD30" s="53">
        <v>24.07458</v>
      </c>
      <c r="AE30" s="52">
        <v>2025</v>
      </c>
      <c r="AF30" s="53">
        <v>24.07458</v>
      </c>
      <c r="AG30" s="53">
        <v>12.08588605729679</v>
      </c>
      <c r="AH30" s="52">
        <v>4</v>
      </c>
    </row>
    <row r="31" spans="1:34">
      <c r="A31" s="52" t="s">
        <v>54</v>
      </c>
      <c r="B31" s="52" t="s">
        <v>51</v>
      </c>
      <c r="C31" s="52" t="s">
        <v>15</v>
      </c>
      <c r="D31" s="52" t="s">
        <v>52</v>
      </c>
      <c r="E31" s="53">
        <v>17.699004</v>
      </c>
      <c r="F31" s="53">
        <v>18.178913</v>
      </c>
      <c r="G31" s="53">
        <v>18.654771</v>
      </c>
      <c r="H31" s="53">
        <v>19.125542</v>
      </c>
      <c r="I31" s="53">
        <v>19.595</v>
      </c>
      <c r="J31" s="53">
        <v>20.068458</v>
      </c>
      <c r="K31" s="53">
        <v>20.546802</v>
      </c>
      <c r="L31" s="53">
        <v>21.030558</v>
      </c>
      <c r="M31" s="53">
        <v>21.514439</v>
      </c>
      <c r="N31" s="53">
        <v>21.99794</v>
      </c>
      <c r="O31" s="53">
        <v>22.488065</v>
      </c>
      <c r="P31" s="53">
        <v>22.982</v>
      </c>
      <c r="Q31" s="53">
        <v>23.467078</v>
      </c>
      <c r="R31" s="53">
        <v>23.939775</v>
      </c>
      <c r="S31" s="53">
        <v>24.527395</v>
      </c>
      <c r="T31" s="53">
        <v>25.246342</v>
      </c>
      <c r="U31" s="53">
        <v>25.989405</v>
      </c>
      <c r="V31" s="53">
        <v>26.733372</v>
      </c>
      <c r="W31" s="53">
        <v>27.464173</v>
      </c>
      <c r="X31" s="53">
        <v>28.193009</v>
      </c>
      <c r="Y31" s="53">
        <v>28.915449</v>
      </c>
      <c r="Z31" s="53">
        <v>29.639736</v>
      </c>
      <c r="AA31" s="53">
        <v>30.395002</v>
      </c>
      <c r="AB31" s="53">
        <v>31.165654</v>
      </c>
      <c r="AC31" s="53">
        <v>31.93423</v>
      </c>
      <c r="AD31" s="53">
        <v>32.711547</v>
      </c>
      <c r="AE31" s="52">
        <v>2025</v>
      </c>
      <c r="AF31" s="53">
        <v>32.711547</v>
      </c>
      <c r="AG31" s="53">
        <v>13.12826925149944</v>
      </c>
      <c r="AH31" s="52">
        <v>1</v>
      </c>
    </row>
    <row r="32" spans="1:34">
      <c r="A32" s="52" t="s">
        <v>55</v>
      </c>
      <c r="B32" s="52" t="s">
        <v>51</v>
      </c>
      <c r="C32" s="52" t="s">
        <v>17</v>
      </c>
      <c r="D32" s="52" t="s">
        <v>52</v>
      </c>
      <c r="E32" s="53">
        <v>1.234741</v>
      </c>
      <c r="F32" s="53">
        <v>1.261273</v>
      </c>
      <c r="G32" s="53">
        <v>1.289307</v>
      </c>
      <c r="H32" s="53">
        <v>1.318806</v>
      </c>
      <c r="I32" s="53">
        <v>1.349563</v>
      </c>
      <c r="J32" s="53">
        <v>1.381585</v>
      </c>
      <c r="K32" s="53">
        <v>1.415303</v>
      </c>
      <c r="L32" s="53">
        <v>1.450986</v>
      </c>
      <c r="M32" s="53">
        <v>1.488054</v>
      </c>
      <c r="N32" s="53">
        <v>1.526377</v>
      </c>
      <c r="O32" s="53">
        <v>1.566347</v>
      </c>
      <c r="P32" s="53">
        <v>1.608076</v>
      </c>
      <c r="Q32" s="53">
        <v>1.651417</v>
      </c>
      <c r="R32" s="53">
        <v>1.695973</v>
      </c>
      <c r="S32" s="53">
        <v>1.741122</v>
      </c>
      <c r="T32" s="53">
        <v>1.786457</v>
      </c>
      <c r="U32" s="53">
        <v>1.831893</v>
      </c>
      <c r="V32" s="53">
        <v>1.877072</v>
      </c>
      <c r="W32" s="53">
        <v>1.922168</v>
      </c>
      <c r="X32" s="53">
        <v>1.967696</v>
      </c>
      <c r="Y32" s="53">
        <v>2.013255</v>
      </c>
      <c r="Z32" s="53">
        <v>2.058841</v>
      </c>
      <c r="AA32" s="53">
        <v>2.105529</v>
      </c>
      <c r="AB32" s="53">
        <v>2.153339</v>
      </c>
      <c r="AC32" s="53">
        <v>2.201352</v>
      </c>
      <c r="AD32" s="53">
        <v>2.249515</v>
      </c>
      <c r="AE32" s="52">
        <v>2025</v>
      </c>
      <c r="AF32" s="53">
        <v>2.249515</v>
      </c>
      <c r="AG32" s="53">
        <v>11.73522479765354</v>
      </c>
      <c r="AH32" s="52">
        <v>8</v>
      </c>
    </row>
    <row r="33" spans="1:34">
      <c r="A33" s="52" t="s">
        <v>56</v>
      </c>
      <c r="B33" s="52" t="s">
        <v>51</v>
      </c>
      <c r="C33" s="52" t="s">
        <v>19</v>
      </c>
      <c r="D33" s="52" t="s">
        <v>52</v>
      </c>
      <c r="E33" s="53">
        <v>11.55929</v>
      </c>
      <c r="F33" s="53">
        <v>11.912158</v>
      </c>
      <c r="G33" s="53">
        <v>12.28805</v>
      </c>
      <c r="H33" s="53">
        <v>12.684955</v>
      </c>
      <c r="I33" s="53">
        <v>13.102409</v>
      </c>
      <c r="J33" s="53">
        <v>13.538647</v>
      </c>
      <c r="K33" s="53">
        <v>13.990139</v>
      </c>
      <c r="L33" s="53">
        <v>14.457775</v>
      </c>
      <c r="M33" s="53">
        <v>14.940782</v>
      </c>
      <c r="N33" s="53">
        <v>15.435539</v>
      </c>
      <c r="O33" s="53">
        <v>15.945198</v>
      </c>
      <c r="P33" s="53">
        <v>16.469049</v>
      </c>
      <c r="Q33" s="53">
        <v>16.957033</v>
      </c>
      <c r="R33" s="53">
        <v>17.459615</v>
      </c>
      <c r="S33" s="53">
        <v>18.020267</v>
      </c>
      <c r="T33" s="53">
        <v>18.593022</v>
      </c>
      <c r="U33" s="53">
        <v>19.191289</v>
      </c>
      <c r="V33" s="53">
        <v>19.813011</v>
      </c>
      <c r="W33" s="53">
        <v>20.44203</v>
      </c>
      <c r="X33" s="53">
        <v>21.068405</v>
      </c>
      <c r="Y33" s="53">
        <v>21.713836</v>
      </c>
      <c r="Z33" s="53">
        <v>22.38863</v>
      </c>
      <c r="AA33" s="53">
        <v>23.07264</v>
      </c>
      <c r="AB33" s="53">
        <v>23.769127</v>
      </c>
      <c r="AC33" s="53">
        <v>24.478595</v>
      </c>
      <c r="AD33" s="53">
        <v>25.198821</v>
      </c>
      <c r="AE33" s="52">
        <v>2025</v>
      </c>
      <c r="AF33" s="53">
        <v>25.198821</v>
      </c>
      <c r="AG33" s="53">
        <v>16.04960542209124</v>
      </c>
      <c r="AH33" s="52">
        <v>3</v>
      </c>
    </row>
    <row r="34" spans="1:34">
      <c r="A34" s="52" t="s">
        <v>57</v>
      </c>
      <c r="B34" s="52" t="s">
        <v>51</v>
      </c>
      <c r="C34" s="52" t="s">
        <v>21</v>
      </c>
      <c r="D34" s="52" t="s">
        <v>52</v>
      </c>
      <c r="E34" s="53">
        <v>11.50963</v>
      </c>
      <c r="F34" s="53">
        <v>11.920647</v>
      </c>
      <c r="G34" s="53">
        <v>12.349144</v>
      </c>
      <c r="H34" s="53">
        <v>12.796984</v>
      </c>
      <c r="I34" s="53">
        <v>13.265836</v>
      </c>
      <c r="J34" s="53">
        <v>13.756192</v>
      </c>
      <c r="K34" s="53">
        <v>14.268581</v>
      </c>
      <c r="L34" s="53">
        <v>14.80361</v>
      </c>
      <c r="M34" s="53">
        <v>15.361915</v>
      </c>
      <c r="N34" s="53">
        <v>15.943675</v>
      </c>
      <c r="O34" s="53">
        <v>16.548835</v>
      </c>
      <c r="P34" s="53">
        <v>17.176283</v>
      </c>
      <c r="Q34" s="53">
        <v>17.836769</v>
      </c>
      <c r="R34" s="53">
        <v>18.519898</v>
      </c>
      <c r="S34" s="53">
        <v>19.215909</v>
      </c>
      <c r="T34" s="53">
        <v>19.939498</v>
      </c>
      <c r="U34" s="53">
        <v>20.685753</v>
      </c>
      <c r="V34" s="53">
        <v>21.435446</v>
      </c>
      <c r="W34" s="53">
        <v>22.188069</v>
      </c>
      <c r="X34" s="53">
        <v>22.947757</v>
      </c>
      <c r="Y34" s="53">
        <v>23.717613</v>
      </c>
      <c r="Z34" s="53">
        <v>24.50214</v>
      </c>
      <c r="AA34" s="53">
        <v>25.311973</v>
      </c>
      <c r="AB34" s="53">
        <v>26.159867</v>
      </c>
      <c r="AC34" s="53">
        <v>27.032412</v>
      </c>
      <c r="AD34" s="53">
        <v>27.917831</v>
      </c>
      <c r="AE34" s="52">
        <v>2025</v>
      </c>
      <c r="AF34" s="53">
        <v>27.917831</v>
      </c>
      <c r="AG34" s="53">
        <v>17.70927791089263</v>
      </c>
      <c r="AH34" s="52">
        <v>2</v>
      </c>
    </row>
    <row r="35" spans="1:34">
      <c r="A35" s="52" t="s">
        <v>58</v>
      </c>
      <c r="B35" s="52" t="s">
        <v>51</v>
      </c>
      <c r="C35" s="52" t="s">
        <v>23</v>
      </c>
      <c r="D35" s="52" t="s">
        <v>52</v>
      </c>
      <c r="E35" s="53">
        <v>9.968259999999999</v>
      </c>
      <c r="F35" s="53">
        <v>10.212942</v>
      </c>
      <c r="G35" s="53">
        <v>10.466214</v>
      </c>
      <c r="H35" s="53">
        <v>10.721176</v>
      </c>
      <c r="I35" s="53">
        <v>10.975704</v>
      </c>
      <c r="J35" s="53">
        <v>11.235472</v>
      </c>
      <c r="K35" s="53">
        <v>11.500094</v>
      </c>
      <c r="L35" s="53">
        <v>11.770344</v>
      </c>
      <c r="M35" s="53">
        <v>12.048959</v>
      </c>
      <c r="N35" s="53">
        <v>12.337389</v>
      </c>
      <c r="O35" s="53">
        <v>12.635413</v>
      </c>
      <c r="P35" s="53">
        <v>12.958897</v>
      </c>
      <c r="Q35" s="53">
        <v>13.310495</v>
      </c>
      <c r="R35" s="53">
        <v>13.710849</v>
      </c>
      <c r="S35" s="53">
        <v>14.152102</v>
      </c>
      <c r="T35" s="53">
        <v>14.593331</v>
      </c>
      <c r="U35" s="53">
        <v>15.034521</v>
      </c>
      <c r="V35" s="53">
        <v>15.475002</v>
      </c>
      <c r="W35" s="53">
        <v>15.914498</v>
      </c>
      <c r="X35" s="53">
        <v>16.352922</v>
      </c>
      <c r="Y35" s="53">
        <v>16.789219</v>
      </c>
      <c r="Z35" s="53">
        <v>17.220867</v>
      </c>
      <c r="AA35" s="53">
        <v>17.651103</v>
      </c>
      <c r="AB35" s="53">
        <v>18.077573</v>
      </c>
      <c r="AC35" s="53">
        <v>18.501984</v>
      </c>
      <c r="AD35" s="53">
        <v>18.931966</v>
      </c>
      <c r="AE35" s="52">
        <v>2025</v>
      </c>
      <c r="AF35" s="53">
        <v>18.931966</v>
      </c>
      <c r="AG35" s="53">
        <v>12.76263654670298</v>
      </c>
      <c r="AH35" s="52">
        <v>5</v>
      </c>
    </row>
    <row r="36" spans="1:34">
      <c r="A36" s="52" t="s">
        <v>59</v>
      </c>
      <c r="B36" s="52" t="s">
        <v>51</v>
      </c>
      <c r="C36" s="52" t="s">
        <v>25</v>
      </c>
      <c r="D36" s="52" t="s">
        <v>52</v>
      </c>
      <c r="E36" s="53">
        <v>4.783722</v>
      </c>
      <c r="F36" s="53">
        <v>4.904144</v>
      </c>
      <c r="G36" s="53">
        <v>5.02713</v>
      </c>
      <c r="H36" s="53">
        <v>5.154112</v>
      </c>
      <c r="I36" s="53">
        <v>5.28132</v>
      </c>
      <c r="J36" s="53">
        <v>5.413154</v>
      </c>
      <c r="K36" s="53">
        <v>5.569664</v>
      </c>
      <c r="L36" s="53">
        <v>5.748443</v>
      </c>
      <c r="M36" s="53">
        <v>5.936138</v>
      </c>
      <c r="N36" s="53">
        <v>6.130946</v>
      </c>
      <c r="O36" s="53">
        <v>6.325787999999999</v>
      </c>
      <c r="P36" s="53">
        <v>6.500582</v>
      </c>
      <c r="Q36" s="53">
        <v>6.653718</v>
      </c>
      <c r="R36" s="53">
        <v>6.798848</v>
      </c>
      <c r="S36" s="53">
        <v>6.937644</v>
      </c>
      <c r="T36" s="53">
        <v>7.071502</v>
      </c>
      <c r="U36" s="53">
        <v>7.200883999999999</v>
      </c>
      <c r="V36" s="53">
        <v>7.324386</v>
      </c>
      <c r="W36" s="53">
        <v>7.458206</v>
      </c>
      <c r="X36" s="53">
        <v>7.619924999999999</v>
      </c>
      <c r="Y36" s="53">
        <v>7.788054</v>
      </c>
      <c r="Z36" s="53">
        <v>7.936176</v>
      </c>
      <c r="AA36" s="53">
        <v>8.068616</v>
      </c>
      <c r="AB36" s="53">
        <v>8.223849999999999</v>
      </c>
      <c r="AC36" s="53">
        <v>8.406558</v>
      </c>
      <c r="AD36" s="53">
        <v>8.591626</v>
      </c>
      <c r="AE36" s="52">
        <v>2025</v>
      </c>
      <c r="AF36" s="53">
        <v>8.591626</v>
      </c>
      <c r="AG36" s="53">
        <v>10.31800755361994</v>
      </c>
      <c r="AH36" s="52">
        <v>7</v>
      </c>
    </row>
    <row r="37" spans="1:34">
      <c r="A37" s="52" t="s">
        <v>60</v>
      </c>
      <c r="B37" s="52" t="s">
        <v>51</v>
      </c>
      <c r="C37" s="52" t="s">
        <v>27</v>
      </c>
      <c r="D37" s="52" t="s">
        <v>52</v>
      </c>
      <c r="E37" s="53">
        <v>9.487726499999999</v>
      </c>
      <c r="F37" s="53">
        <v>9.76633425</v>
      </c>
      <c r="G37" s="53">
        <v>10.053867375</v>
      </c>
      <c r="H37" s="53">
        <v>10.349647125</v>
      </c>
      <c r="I37" s="53">
        <v>10.653682375</v>
      </c>
      <c r="J37" s="53">
        <v>10.968971875</v>
      </c>
      <c r="K37" s="53">
        <v>11.2946915</v>
      </c>
      <c r="L37" s="53">
        <v>11.628999</v>
      </c>
      <c r="M37" s="53">
        <v>11.97210575</v>
      </c>
      <c r="N37" s="53">
        <v>12.323919375</v>
      </c>
      <c r="O37" s="53">
        <v>12.6854535</v>
      </c>
      <c r="P37" s="53">
        <v>13.05630225</v>
      </c>
      <c r="Q37" s="53">
        <v>13.43080675</v>
      </c>
      <c r="R37" s="53">
        <v>13.816150125</v>
      </c>
      <c r="S37" s="53">
        <v>14.231738</v>
      </c>
      <c r="T37" s="53">
        <v>14.67104</v>
      </c>
      <c r="U37" s="53">
        <v>15.120805375</v>
      </c>
      <c r="V37" s="53">
        <v>15.5740595</v>
      </c>
      <c r="W37" s="53">
        <v>16.026347375</v>
      </c>
      <c r="X37" s="53">
        <v>16.479802625</v>
      </c>
      <c r="Y37" s="53">
        <v>16.935785625</v>
      </c>
      <c r="Z37" s="53">
        <v>17.39438125</v>
      </c>
      <c r="AA37" s="53">
        <v>17.85917525</v>
      </c>
      <c r="AB37" s="53">
        <v>18.3357775</v>
      </c>
      <c r="AC37" s="53">
        <v>18.8208295</v>
      </c>
      <c r="AD37" s="53">
        <v>19.31129325</v>
      </c>
      <c r="AE37" s="52">
        <v>2025</v>
      </c>
      <c r="AF37" s="53">
        <v>19.31129325</v>
      </c>
      <c r="AG37" s="53">
        <v>13.39181203270968</v>
      </c>
      <c r="AH37" s="52"/>
    </row>
    <row r="38" spans="1:34">
      <c r="A38" s="52" t="s">
        <v>61</v>
      </c>
      <c r="B38" s="52" t="s">
        <v>62</v>
      </c>
      <c r="C38" s="52" t="s">
        <v>10</v>
      </c>
      <c r="D38" s="52" t="s">
        <v>63</v>
      </c>
      <c r="E38" s="53">
        <v>38.2759517258875</v>
      </c>
      <c r="F38" s="53">
        <v>38.6186257669218</v>
      </c>
      <c r="G38" s="53">
        <v>39.0035069872981</v>
      </c>
      <c r="H38" s="53">
        <v>39.4169696013044</v>
      </c>
      <c r="I38" s="53">
        <v>39.8525699078742</v>
      </c>
      <c r="J38" s="53">
        <v>40.3097749006517</v>
      </c>
      <c r="K38" s="53">
        <v>40.7877794072449</v>
      </c>
      <c r="L38" s="53">
        <v>41.2857782552618</v>
      </c>
      <c r="M38" s="53">
        <v>41.8029662723105</v>
      </c>
      <c r="N38" s="53">
        <v>42.338538285999</v>
      </c>
      <c r="O38" s="53">
        <v>42.8916891239353</v>
      </c>
      <c r="P38" s="53">
        <v>43.4616136137276</v>
      </c>
      <c r="Q38" s="53">
        <v>44.0475065829838</v>
      </c>
      <c r="R38" s="53">
        <v>44.6502883669319</v>
      </c>
      <c r="S38" s="53">
        <v>45.2880529235999</v>
      </c>
      <c r="T38" s="53">
        <v>45.9407403257663</v>
      </c>
      <c r="U38" s="53">
        <v>46.6094559006664</v>
      </c>
      <c r="V38" s="53">
        <v>47.2942774880391</v>
      </c>
      <c r="W38" s="53">
        <v>47.9952829275963</v>
      </c>
      <c r="X38" s="53">
        <v>48.7125500590248</v>
      </c>
      <c r="Y38" s="53">
        <v>49.4461567219896</v>
      </c>
      <c r="Z38" s="53">
        <v>50.1961807561354</v>
      </c>
      <c r="AA38" s="53">
        <v>50.9627000010887</v>
      </c>
      <c r="AB38" s="53">
        <v>51.7457922964593</v>
      </c>
      <c r="AC38" s="53">
        <v>52.5455354818423</v>
      </c>
      <c r="AD38" s="53">
        <v>53.3620073968188</v>
      </c>
      <c r="AE38" s="52">
        <v>2025</v>
      </c>
      <c r="AF38" s="53">
        <v>53.3620073968188</v>
      </c>
      <c r="AG38" s="53">
        <v>3.915850674829194</v>
      </c>
      <c r="AH38" s="52">
        <v>3</v>
      </c>
    </row>
    <row r="39" spans="1:34">
      <c r="A39" s="52" t="s">
        <v>64</v>
      </c>
      <c r="B39" s="52" t="s">
        <v>62</v>
      </c>
      <c r="C39" s="52" t="s">
        <v>13</v>
      </c>
      <c r="D39" s="52" t="s">
        <v>63</v>
      </c>
      <c r="E39" s="53">
        <v>18.0003503329444</v>
      </c>
      <c r="F39" s="53">
        <v>18.8591452143893</v>
      </c>
      <c r="G39" s="53">
        <v>19.725053583448</v>
      </c>
      <c r="H39" s="53">
        <v>20.563327262892</v>
      </c>
      <c r="I39" s="53">
        <v>21.3392180754924</v>
      </c>
      <c r="J39" s="53">
        <v>22.0179778440204</v>
      </c>
      <c r="K39" s="53">
        <v>22.5528306908743</v>
      </c>
      <c r="L39" s="53">
        <v>22.9741760828193</v>
      </c>
      <c r="M39" s="53">
        <v>23.3633747838557</v>
      </c>
      <c r="N39" s="53">
        <v>23.7452325601116</v>
      </c>
      <c r="O39" s="53">
        <v>24.115092498158</v>
      </c>
      <c r="P39" s="53">
        <v>24.4682976845657</v>
      </c>
      <c r="Q39" s="53">
        <v>24.8001912059054</v>
      </c>
      <c r="R39" s="53">
        <v>25.106116148748</v>
      </c>
      <c r="S39" s="53">
        <v>25.3814155996643</v>
      </c>
      <c r="T39" s="53">
        <v>25.621432645225</v>
      </c>
      <c r="U39" s="53">
        <v>25.821510372001</v>
      </c>
      <c r="V39" s="53">
        <v>25.9769918665632</v>
      </c>
      <c r="W39" s="53">
        <v>26.0832202154822</v>
      </c>
      <c r="X39" s="53">
        <v>26.1187254401157</v>
      </c>
      <c r="Y39" s="53">
        <v>26.3578373628627</v>
      </c>
      <c r="Z39" s="53">
        <v>26.8114307743017</v>
      </c>
      <c r="AA39" s="53">
        <v>27.2791369742712</v>
      </c>
      <c r="AB39" s="53">
        <v>27.7872478365158</v>
      </c>
      <c r="AC39" s="53">
        <v>28.3352514896662</v>
      </c>
      <c r="AD39" s="53">
        <v>28.9226360719085</v>
      </c>
      <c r="AE39" s="52">
        <v>2025</v>
      </c>
      <c r="AF39" s="53">
        <v>28.9226360719085</v>
      </c>
      <c r="AG39" s="53">
        <v>2.5647987090458</v>
      </c>
      <c r="AH39" s="52">
        <v>7</v>
      </c>
    </row>
    <row r="40" spans="1:34">
      <c r="A40" s="52" t="s">
        <v>65</v>
      </c>
      <c r="B40" s="52" t="s">
        <v>62</v>
      </c>
      <c r="C40" s="52" t="s">
        <v>15</v>
      </c>
      <c r="D40" s="52" t="s">
        <v>63</v>
      </c>
      <c r="E40" s="53">
        <v>43.0840065011913</v>
      </c>
      <c r="F40" s="53">
        <v>43.4670149035012</v>
      </c>
      <c r="G40" s="53">
        <v>43.859032147728</v>
      </c>
      <c r="H40" s="53">
        <v>44.2593744150531</v>
      </c>
      <c r="I40" s="53">
        <v>44.667357886658</v>
      </c>
      <c r="J40" s="53">
        <v>45.082298743724</v>
      </c>
      <c r="K40" s="53">
        <v>45.5035131674326</v>
      </c>
      <c r="L40" s="53">
        <v>45.930317338965</v>
      </c>
      <c r="M40" s="53">
        <v>46.3620274395029</v>
      </c>
      <c r="N40" s="53">
        <v>46.7979596502274</v>
      </c>
      <c r="O40" s="53">
        <v>47.2374301523201</v>
      </c>
      <c r="P40" s="53">
        <v>47.6797551269623</v>
      </c>
      <c r="Q40" s="53">
        <v>48.1242507553354</v>
      </c>
      <c r="R40" s="53">
        <v>48.5702332186208</v>
      </c>
      <c r="S40" s="53">
        <v>49.0173144557368</v>
      </c>
      <c r="T40" s="53">
        <v>49.4694894689553</v>
      </c>
      <c r="U40" s="53">
        <v>49.929991034032</v>
      </c>
      <c r="V40" s="53">
        <v>50.3977309654344</v>
      </c>
      <c r="W40" s="53">
        <v>50.8718477756395</v>
      </c>
      <c r="X40" s="53">
        <v>51.3514799771241</v>
      </c>
      <c r="Y40" s="53">
        <v>51.8357660823651</v>
      </c>
      <c r="Z40" s="53">
        <v>52.3183461956059</v>
      </c>
      <c r="AA40" s="53">
        <v>52.8492549676673</v>
      </c>
      <c r="AB40" s="53">
        <v>53.4075201638704</v>
      </c>
      <c r="AC40" s="53">
        <v>53.9733113940142</v>
      </c>
      <c r="AD40" s="53">
        <v>54.5489501450761</v>
      </c>
      <c r="AE40" s="52">
        <v>2025</v>
      </c>
      <c r="AF40" s="53">
        <v>54.5489501450761</v>
      </c>
      <c r="AG40" s="53">
        <v>2.713184062711001</v>
      </c>
      <c r="AH40" s="52">
        <v>2</v>
      </c>
    </row>
    <row r="41" spans="1:34">
      <c r="A41" s="52" t="s">
        <v>66</v>
      </c>
      <c r="B41" s="52" t="s">
        <v>62</v>
      </c>
      <c r="C41" s="52" t="s">
        <v>17</v>
      </c>
      <c r="D41" s="52" t="s">
        <v>63</v>
      </c>
      <c r="E41" s="53">
        <v>36.8412054388232</v>
      </c>
      <c r="F41" s="53">
        <v>37.1627839410066</v>
      </c>
      <c r="G41" s="53">
        <v>37.4734924367695</v>
      </c>
      <c r="H41" s="53">
        <v>37.7773055741583</v>
      </c>
      <c r="I41" s="53">
        <v>38.0781980012196</v>
      </c>
      <c r="J41" s="53">
        <v>38.3801443659997</v>
      </c>
      <c r="K41" s="53">
        <v>38.6871193165452</v>
      </c>
      <c r="L41" s="53">
        <v>39.0030975009025</v>
      </c>
      <c r="M41" s="53">
        <v>39.3320535671181</v>
      </c>
      <c r="N41" s="53">
        <v>39.6716434222135</v>
      </c>
      <c r="O41" s="53">
        <v>40.0095596313477</v>
      </c>
      <c r="P41" s="53">
        <v>40.4391136169434</v>
      </c>
      <c r="Q41" s="53">
        <v>40.8686027526855</v>
      </c>
      <c r="R41" s="53">
        <v>41.2976379394531</v>
      </c>
      <c r="S41" s="53">
        <v>41.7271995544434</v>
      </c>
      <c r="T41" s="53">
        <v>42.1568145751953</v>
      </c>
      <c r="U41" s="53">
        <v>42.586109161377</v>
      </c>
      <c r="V41" s="53">
        <v>43.0155792236328</v>
      </c>
      <c r="W41" s="53">
        <v>43.4449081420898</v>
      </c>
      <c r="X41" s="53">
        <v>43.8745574951172</v>
      </c>
      <c r="Y41" s="53">
        <v>44.3038330078125</v>
      </c>
      <c r="Z41" s="53">
        <v>44.7334136962891</v>
      </c>
      <c r="AA41" s="53">
        <v>45.1627159118652</v>
      </c>
      <c r="AB41" s="53">
        <v>45.5923843383789</v>
      </c>
      <c r="AC41" s="53">
        <v>46.113204421822</v>
      </c>
      <c r="AD41" s="53">
        <v>46.6510315281292</v>
      </c>
      <c r="AE41" s="52">
        <v>2025</v>
      </c>
      <c r="AF41" s="53">
        <v>46.6510315281292</v>
      </c>
      <c r="AG41" s="53">
        <v>2.347198520316702</v>
      </c>
      <c r="AH41" s="52">
        <v>4</v>
      </c>
    </row>
    <row r="42" spans="1:34">
      <c r="A42" s="52" t="s">
        <v>67</v>
      </c>
      <c r="B42" s="52" t="s">
        <v>62</v>
      </c>
      <c r="C42" s="52" t="s">
        <v>19</v>
      </c>
      <c r="D42" s="52" t="s">
        <v>63</v>
      </c>
      <c r="E42" s="53">
        <v>18.977631037325</v>
      </c>
      <c r="F42" s="53">
        <v>19.3181950112665</v>
      </c>
      <c r="G42" s="53">
        <v>19.6792980362731</v>
      </c>
      <c r="H42" s="53">
        <v>20.0594231247985</v>
      </c>
      <c r="I42" s="53">
        <v>20.4570532892964</v>
      </c>
      <c r="J42" s="53">
        <v>20.8706715422205</v>
      </c>
      <c r="K42" s="53">
        <v>21.2987608960246</v>
      </c>
      <c r="L42" s="53">
        <v>21.7398043631622</v>
      </c>
      <c r="M42" s="53">
        <v>22.1922849560871</v>
      </c>
      <c r="N42" s="53">
        <v>22.6557955217884</v>
      </c>
      <c r="O42" s="53">
        <v>23.1359461824894</v>
      </c>
      <c r="P42" s="53">
        <v>23.6379674039304</v>
      </c>
      <c r="Q42" s="53">
        <v>24.1606168848588</v>
      </c>
      <c r="R42" s="53">
        <v>24.7033626854883</v>
      </c>
      <c r="S42" s="53">
        <v>25.2656728660325</v>
      </c>
      <c r="T42" s="53">
        <v>25.847015486705</v>
      </c>
      <c r="U42" s="53">
        <v>26.4468586077195</v>
      </c>
      <c r="V42" s="53">
        <v>27.0646702892896</v>
      </c>
      <c r="W42" s="53">
        <v>27.6999185916288</v>
      </c>
      <c r="X42" s="53">
        <v>28.3520715749509</v>
      </c>
      <c r="Y42" s="53">
        <v>29.0205972994693</v>
      </c>
      <c r="Z42" s="53">
        <v>29.7049638253978</v>
      </c>
      <c r="AA42" s="53">
        <v>30.4015705681899</v>
      </c>
      <c r="AB42" s="53">
        <v>31.0031889023235</v>
      </c>
      <c r="AC42" s="53">
        <v>31.6075621182225</v>
      </c>
      <c r="AD42" s="53">
        <v>32.2127137183989</v>
      </c>
      <c r="AE42" s="52">
        <v>2025</v>
      </c>
      <c r="AF42" s="53">
        <v>32.2127137183989</v>
      </c>
      <c r="AG42" s="53">
        <v>3.192116418929601</v>
      </c>
      <c r="AH42" s="52">
        <v>6</v>
      </c>
    </row>
    <row r="43" spans="1:34">
      <c r="A43" s="52" t="s">
        <v>68</v>
      </c>
      <c r="B43" s="52" t="s">
        <v>62</v>
      </c>
      <c r="C43" s="52" t="s">
        <v>21</v>
      </c>
      <c r="D43" s="52" t="s">
        <v>63</v>
      </c>
      <c r="E43" s="53">
        <v>16.1307678222656</v>
      </c>
      <c r="F43" s="53">
        <v>16.2687225341797</v>
      </c>
      <c r="G43" s="53">
        <v>16.2687206268311</v>
      </c>
      <c r="H43" s="53">
        <v>16.2687225341797</v>
      </c>
      <c r="I43" s="53">
        <v>16.2687225341797</v>
      </c>
      <c r="J43" s="53">
        <v>16.2687225341797</v>
      </c>
      <c r="K43" s="53">
        <v>16.2675724894628</v>
      </c>
      <c r="L43" s="53">
        <v>16.2641887037781</v>
      </c>
      <c r="M43" s="53">
        <v>16.2586706998252</v>
      </c>
      <c r="N43" s="53">
        <v>16.2511180003032</v>
      </c>
      <c r="O43" s="53">
        <v>16.2416301279116</v>
      </c>
      <c r="P43" s="53">
        <v>16.2303066053496</v>
      </c>
      <c r="Q43" s="53">
        <v>16.2141284004355</v>
      </c>
      <c r="R43" s="53">
        <v>16.2162595696064</v>
      </c>
      <c r="S43" s="53">
        <v>16.2450424611665</v>
      </c>
      <c r="T43" s="53">
        <v>16.3035606587493</v>
      </c>
      <c r="U43" s="53">
        <v>16.3898280543236</v>
      </c>
      <c r="V43" s="53">
        <v>16.5036987906896</v>
      </c>
      <c r="W43" s="53">
        <v>16.6449011799221</v>
      </c>
      <c r="X43" s="53">
        <v>16.813146499685</v>
      </c>
      <c r="Y43" s="53">
        <v>17.0081420003794</v>
      </c>
      <c r="Z43" s="53">
        <v>17.2295936666686</v>
      </c>
      <c r="AA43" s="53">
        <v>17.477207007512</v>
      </c>
      <c r="AB43" s="53">
        <v>17.7506873295237</v>
      </c>
      <c r="AC43" s="53">
        <v>18.0497398450803</v>
      </c>
      <c r="AD43" s="53">
        <v>18.3740697195469</v>
      </c>
      <c r="AE43" s="52">
        <v>2025</v>
      </c>
      <c r="AF43" s="53">
        <v>18.3740697195469</v>
      </c>
      <c r="AG43" s="53">
        <v>1.365927719167498</v>
      </c>
      <c r="AH43" s="52">
        <v>8</v>
      </c>
    </row>
    <row r="44" spans="1:34">
      <c r="A44" s="52" t="s">
        <v>69</v>
      </c>
      <c r="B44" s="52" t="s">
        <v>62</v>
      </c>
      <c r="C44" s="52" t="s">
        <v>23</v>
      </c>
      <c r="D44" s="52" t="s">
        <v>63</v>
      </c>
      <c r="E44" s="53">
        <v>40.6667555531967</v>
      </c>
      <c r="F44" s="53">
        <v>40.8763420163126</v>
      </c>
      <c r="G44" s="53">
        <v>41.1081471561292</v>
      </c>
      <c r="H44" s="53">
        <v>41.35893934855</v>
      </c>
      <c r="I44" s="53">
        <v>41.6248193895895</v>
      </c>
      <c r="J44" s="53">
        <v>41.9057599695838</v>
      </c>
      <c r="K44" s="53">
        <v>42.2046413043069</v>
      </c>
      <c r="L44" s="53">
        <v>42.524343609533</v>
      </c>
      <c r="M44" s="53">
        <v>42.867747101036</v>
      </c>
      <c r="N44" s="53">
        <v>43.23773199459</v>
      </c>
      <c r="O44" s="53">
        <v>43.6371785059692</v>
      </c>
      <c r="P44" s="53">
        <v>44.0689668509475</v>
      </c>
      <c r="Q44" s="53">
        <v>44.5359772452989</v>
      </c>
      <c r="R44" s="53">
        <v>45.0398750539456</v>
      </c>
      <c r="S44" s="53">
        <v>45.6020905341588</v>
      </c>
      <c r="T44" s="53">
        <v>46.2747669629858</v>
      </c>
      <c r="U44" s="53">
        <v>47.0553579909929</v>
      </c>
      <c r="V44" s="53">
        <v>47.9338349639053</v>
      </c>
      <c r="W44" s="53">
        <v>48.9001692274485</v>
      </c>
      <c r="X44" s="53">
        <v>49.9443321273477</v>
      </c>
      <c r="Y44" s="53">
        <v>51.0562950093282</v>
      </c>
      <c r="Z44" s="53">
        <v>52.2260292191155</v>
      </c>
      <c r="AA44" s="53">
        <v>53.4435061024348</v>
      </c>
      <c r="AB44" s="53">
        <v>54.6992276190794</v>
      </c>
      <c r="AC44" s="53">
        <v>55.2368169057304</v>
      </c>
      <c r="AD44" s="53">
        <v>55.7672494455246</v>
      </c>
      <c r="AE44" s="52">
        <v>2025</v>
      </c>
      <c r="AF44" s="53">
        <v>55.7672494455246</v>
      </c>
      <c r="AG44" s="53">
        <v>4.710954436196396</v>
      </c>
      <c r="AH44" s="52">
        <v>1</v>
      </c>
    </row>
    <row r="45" spans="1:34">
      <c r="A45" s="52" t="s">
        <v>70</v>
      </c>
      <c r="B45" s="52" t="s">
        <v>62</v>
      </c>
      <c r="C45" s="52" t="s">
        <v>25</v>
      </c>
      <c r="D45" s="52" t="s">
        <v>63</v>
      </c>
      <c r="E45" s="53">
        <v>33.0994844063309</v>
      </c>
      <c r="F45" s="53">
        <v>33.5503635916513</v>
      </c>
      <c r="G45" s="53">
        <v>34.0011370438307</v>
      </c>
      <c r="H45" s="53">
        <v>34.4513989657696</v>
      </c>
      <c r="I45" s="53">
        <v>34.9007435603688</v>
      </c>
      <c r="J45" s="53">
        <v>35.3487650305291</v>
      </c>
      <c r="K45" s="53">
        <v>35.795057579151</v>
      </c>
      <c r="L45" s="53">
        <v>36.2392154091353</v>
      </c>
      <c r="M45" s="53">
        <v>36.6808327233827</v>
      </c>
      <c r="N45" s="53">
        <v>37.1195037247939</v>
      </c>
      <c r="O45" s="53">
        <v>37.5545882975638</v>
      </c>
      <c r="P45" s="53">
        <v>37.9872305648732</v>
      </c>
      <c r="Q45" s="53">
        <v>38.4194359598204</v>
      </c>
      <c r="R45" s="53">
        <v>38.8516767884103</v>
      </c>
      <c r="S45" s="53">
        <v>39.2839506458368</v>
      </c>
      <c r="T45" s="53">
        <v>39.7162551272934</v>
      </c>
      <c r="U45" s="53">
        <v>40.1485878279739</v>
      </c>
      <c r="V45" s="53">
        <v>40.5809463430719</v>
      </c>
      <c r="W45" s="53">
        <v>41.013328267781</v>
      </c>
      <c r="X45" s="53">
        <v>41.445731197295</v>
      </c>
      <c r="Y45" s="53">
        <v>41.8781527268075</v>
      </c>
      <c r="Z45" s="53">
        <v>42.3105904515122</v>
      </c>
      <c r="AA45" s="53">
        <v>42.7332327975627</v>
      </c>
      <c r="AB45" s="53">
        <v>43.2496853032436</v>
      </c>
      <c r="AC45" s="53">
        <v>43.8148491605996</v>
      </c>
      <c r="AD45" s="53">
        <v>44.3949892074399</v>
      </c>
      <c r="AE45" s="52">
        <v>2025</v>
      </c>
      <c r="AF45" s="53">
        <v>44.3949892074399</v>
      </c>
      <c r="AG45" s="53">
        <v>2.516836480632399</v>
      </c>
      <c r="AH45" s="52">
        <v>5</v>
      </c>
    </row>
    <row r="46" spans="1:34">
      <c r="A46" s="52" t="s">
        <v>71</v>
      </c>
      <c r="B46" s="52" t="s">
        <v>62</v>
      </c>
      <c r="C46" s="52" t="s">
        <v>27</v>
      </c>
      <c r="D46" s="52" t="s">
        <v>63</v>
      </c>
      <c r="E46" s="53">
        <v>30.63451910224558</v>
      </c>
      <c r="F46" s="53">
        <v>31.01514912240362</v>
      </c>
      <c r="G46" s="53">
        <v>31.38979850228846</v>
      </c>
      <c r="H46" s="53">
        <v>31.7694326033382</v>
      </c>
      <c r="I46" s="53">
        <v>32.14858533058482</v>
      </c>
      <c r="J46" s="53">
        <v>32.52301436636361</v>
      </c>
      <c r="K46" s="53">
        <v>32.88715935638029</v>
      </c>
      <c r="L46" s="53">
        <v>33.24511515794465</v>
      </c>
      <c r="M46" s="53">
        <v>33.60749469288977</v>
      </c>
      <c r="N46" s="53">
        <v>33.97719039500338</v>
      </c>
      <c r="O46" s="53">
        <v>34.35288931496189</v>
      </c>
      <c r="P46" s="53">
        <v>34.74665643341246</v>
      </c>
      <c r="Q46" s="53">
        <v>35.14633872341546</v>
      </c>
      <c r="R46" s="53">
        <v>35.55443122140055</v>
      </c>
      <c r="S46" s="53">
        <v>35.97634238007988</v>
      </c>
      <c r="T46" s="53">
        <v>36.41625940635942</v>
      </c>
      <c r="U46" s="53">
        <v>36.87346236863578</v>
      </c>
      <c r="V46" s="53">
        <v>37.34596624132823</v>
      </c>
      <c r="W46" s="53">
        <v>37.83169704094853</v>
      </c>
      <c r="X46" s="53">
        <v>38.32657429633255</v>
      </c>
      <c r="Y46" s="53">
        <v>38.86334752637678</v>
      </c>
      <c r="Z46" s="53">
        <v>39.44131857312827</v>
      </c>
      <c r="AA46" s="53">
        <v>40.03866554132397</v>
      </c>
      <c r="AB46" s="53">
        <v>40.65446672367433</v>
      </c>
      <c r="AC46" s="53">
        <v>41.20953385212218</v>
      </c>
      <c r="AD46" s="53">
        <v>41.77920590410536</v>
      </c>
      <c r="AE46" s="52">
        <v>2025</v>
      </c>
      <c r="AF46" s="53">
        <v>41.77920590410536</v>
      </c>
      <c r="AG46" s="53">
        <v>2.915858377728574</v>
      </c>
      <c r="AH46" s="52"/>
    </row>
    <row r="47" spans="1:34">
      <c r="A47" s="52" t="s">
        <v>72</v>
      </c>
      <c r="B47" s="52" t="s">
        <v>73</v>
      </c>
      <c r="C47" s="52" t="s">
        <v>10</v>
      </c>
      <c r="D47" s="52" t="s">
        <v>63</v>
      </c>
      <c r="E47" s="53">
        <v>21.5</v>
      </c>
      <c r="F47" s="53">
        <v>21.9</v>
      </c>
      <c r="G47" s="53">
        <v>23.4</v>
      </c>
      <c r="H47" s="53">
        <v>24.3</v>
      </c>
      <c r="I47" s="53">
        <v>25.2</v>
      </c>
      <c r="J47" s="53">
        <v>26.1</v>
      </c>
      <c r="K47" s="53">
        <v>27.9</v>
      </c>
      <c r="L47" s="53">
        <v>28</v>
      </c>
      <c r="M47" s="53">
        <v>29</v>
      </c>
      <c r="N47" s="53">
        <v>30</v>
      </c>
      <c r="O47" s="53">
        <v>34.2</v>
      </c>
      <c r="P47" s="53">
        <v>36.9</v>
      </c>
      <c r="Q47" s="53">
        <v>38.4</v>
      </c>
      <c r="R47" s="53">
        <v>34.7</v>
      </c>
      <c r="S47" s="53">
        <v>34.1</v>
      </c>
      <c r="T47" s="53">
        <v>29.6</v>
      </c>
      <c r="U47" s="53">
        <v>37</v>
      </c>
      <c r="V47" s="53">
        <v>34.5</v>
      </c>
      <c r="W47" s="53">
        <v>39</v>
      </c>
      <c r="X47" s="53">
        <v>40</v>
      </c>
      <c r="Y47" s="53">
        <v>41</v>
      </c>
      <c r="Z47" s="53">
        <v>42</v>
      </c>
      <c r="AA47" s="53">
        <v>56.5</v>
      </c>
      <c r="AB47" s="53">
        <v>57</v>
      </c>
      <c r="AC47" s="53">
        <v>59</v>
      </c>
      <c r="AD47" s="53"/>
      <c r="AE47" s="52">
        <v>2024</v>
      </c>
      <c r="AF47" s="53">
        <v>59</v>
      </c>
      <c r="AG47" s="53">
        <v>19</v>
      </c>
      <c r="AH47" s="52">
        <v>4</v>
      </c>
    </row>
    <row r="48" spans="1:34">
      <c r="A48" s="52" t="s">
        <v>74</v>
      </c>
      <c r="B48" s="52" t="s">
        <v>73</v>
      </c>
      <c r="C48" s="52" t="s">
        <v>13</v>
      </c>
      <c r="D48" s="52" t="s">
        <v>63</v>
      </c>
      <c r="E48" s="53">
        <v>9.1</v>
      </c>
      <c r="F48" s="53">
        <v>9.5</v>
      </c>
      <c r="G48" s="53">
        <v>9.9</v>
      </c>
      <c r="H48" s="53">
        <v>11.4</v>
      </c>
      <c r="I48" s="53">
        <v>10.7</v>
      </c>
      <c r="J48" s="53">
        <v>11.1</v>
      </c>
      <c r="K48" s="53">
        <v>11.6</v>
      </c>
      <c r="L48" s="53">
        <v>12</v>
      </c>
      <c r="M48" s="53">
        <v>12.5</v>
      </c>
      <c r="N48" s="53">
        <v>12.6</v>
      </c>
      <c r="O48" s="53">
        <v>13.1</v>
      </c>
      <c r="P48" s="53">
        <v>14.8</v>
      </c>
      <c r="Q48" s="53">
        <v>15.1</v>
      </c>
      <c r="R48" s="53">
        <v>15.4</v>
      </c>
      <c r="S48" s="53">
        <v>19.2</v>
      </c>
      <c r="T48" s="53">
        <v>16.2</v>
      </c>
      <c r="U48" s="53">
        <v>16.6</v>
      </c>
      <c r="V48" s="53">
        <v>17</v>
      </c>
      <c r="W48" s="53">
        <v>14.4</v>
      </c>
      <c r="X48" s="53">
        <v>17.6</v>
      </c>
      <c r="Y48" s="53">
        <v>18.5</v>
      </c>
      <c r="Z48" s="53">
        <v>19</v>
      </c>
      <c r="AA48" s="53">
        <v>19.5</v>
      </c>
      <c r="AB48" s="53">
        <v>21.7</v>
      </c>
      <c r="AC48" s="53">
        <v>34</v>
      </c>
      <c r="AD48" s="53"/>
      <c r="AE48" s="52">
        <v>2024</v>
      </c>
      <c r="AF48" s="53">
        <v>34</v>
      </c>
      <c r="AG48" s="53">
        <v>16.4</v>
      </c>
      <c r="AH48" s="52">
        <v>7</v>
      </c>
    </row>
    <row r="49" spans="1:34">
      <c r="A49" s="52" t="s">
        <v>75</v>
      </c>
      <c r="B49" s="52" t="s">
        <v>73</v>
      </c>
      <c r="C49" s="52" t="s">
        <v>15</v>
      </c>
      <c r="D49" s="52" t="s">
        <v>63</v>
      </c>
      <c r="E49" s="53">
        <v>48.7</v>
      </c>
      <c r="F49" s="53">
        <v>49.7</v>
      </c>
      <c r="G49" s="53">
        <v>51.4</v>
      </c>
      <c r="H49" s="53">
        <v>51.5</v>
      </c>
      <c r="I49" s="53">
        <v>52.4</v>
      </c>
      <c r="J49" s="53">
        <v>58.9</v>
      </c>
      <c r="K49" s="53">
        <v>60.2</v>
      </c>
      <c r="L49" s="53">
        <v>55.3</v>
      </c>
      <c r="M49" s="53">
        <v>60.3</v>
      </c>
      <c r="N49" s="53">
        <v>57.3</v>
      </c>
      <c r="O49" s="53">
        <v>58.4</v>
      </c>
      <c r="P49" s="53">
        <v>55.8</v>
      </c>
      <c r="Q49" s="53">
        <v>55.8</v>
      </c>
      <c r="R49" s="53">
        <v>61.5</v>
      </c>
      <c r="S49" s="53">
        <v>61.9</v>
      </c>
      <c r="T49" s="53">
        <v>62.6</v>
      </c>
      <c r="U49" s="53">
        <v>64.3</v>
      </c>
      <c r="V49" s="53">
        <v>65.59999999999999</v>
      </c>
      <c r="W49" s="53">
        <v>67.09999999999999</v>
      </c>
      <c r="X49" s="53">
        <v>68.59999999999999</v>
      </c>
      <c r="Y49" s="53">
        <v>69.90000000000001</v>
      </c>
      <c r="Z49" s="53">
        <v>71.09999999999999</v>
      </c>
      <c r="AA49" s="53">
        <v>70.40000000000001</v>
      </c>
      <c r="AB49" s="53">
        <v>72.40000000000001</v>
      </c>
      <c r="AC49" s="53">
        <v>72.90000000000001</v>
      </c>
      <c r="AD49" s="53"/>
      <c r="AE49" s="52">
        <v>2024</v>
      </c>
      <c r="AF49" s="53">
        <v>72.90000000000001</v>
      </c>
      <c r="AG49" s="53">
        <v>4.300000000000011</v>
      </c>
      <c r="AH49" s="52">
        <v>2</v>
      </c>
    </row>
    <row r="50" spans="1:34">
      <c r="A50" s="52" t="s">
        <v>76</v>
      </c>
      <c r="B50" s="52" t="s">
        <v>73</v>
      </c>
      <c r="C50" s="52" t="s">
        <v>17</v>
      </c>
      <c r="D50" s="52" t="s">
        <v>63</v>
      </c>
      <c r="E50" s="53"/>
      <c r="F50" s="53"/>
      <c r="G50" s="53">
        <v>1.3</v>
      </c>
      <c r="H50" s="53">
        <v>2.6</v>
      </c>
      <c r="I50" s="53">
        <v>3.9</v>
      </c>
      <c r="J50" s="53">
        <v>5.2</v>
      </c>
      <c r="K50" s="53">
        <v>14.5</v>
      </c>
      <c r="L50" s="53">
        <v>7.9</v>
      </c>
      <c r="M50" s="53">
        <v>9.300000000000001</v>
      </c>
      <c r="N50" s="53">
        <v>4.7</v>
      </c>
      <c r="O50" s="53">
        <v>6</v>
      </c>
      <c r="P50" s="53">
        <v>13.5</v>
      </c>
      <c r="Q50" s="53">
        <v>14.9</v>
      </c>
      <c r="R50" s="53">
        <v>16.3</v>
      </c>
      <c r="S50" s="53">
        <v>17.2</v>
      </c>
      <c r="T50" s="53">
        <v>20.1</v>
      </c>
      <c r="U50" s="53">
        <v>22.9</v>
      </c>
      <c r="V50" s="53">
        <v>26</v>
      </c>
      <c r="W50" s="53">
        <v>28.4</v>
      </c>
      <c r="X50" s="53">
        <v>30.9</v>
      </c>
      <c r="Y50" s="53">
        <v>33.4</v>
      </c>
      <c r="Z50" s="53">
        <v>35.8</v>
      </c>
      <c r="AA50" s="53">
        <v>37.4</v>
      </c>
      <c r="AB50" s="53">
        <v>40.5</v>
      </c>
      <c r="AC50" s="53">
        <v>43.7</v>
      </c>
      <c r="AD50" s="53"/>
      <c r="AE50" s="52">
        <v>2024</v>
      </c>
      <c r="AF50" s="53">
        <v>43.7</v>
      </c>
      <c r="AG50" s="53">
        <v>12.8</v>
      </c>
      <c r="AH50" s="52">
        <v>6</v>
      </c>
    </row>
    <row r="51" spans="1:34">
      <c r="A51" s="52" t="s">
        <v>77</v>
      </c>
      <c r="B51" s="52" t="s">
        <v>73</v>
      </c>
      <c r="C51" s="52" t="s">
        <v>19</v>
      </c>
      <c r="D51" s="52" t="s">
        <v>63</v>
      </c>
      <c r="E51" s="53">
        <v>9.6</v>
      </c>
      <c r="F51" s="53">
        <v>10.8</v>
      </c>
      <c r="G51" s="53">
        <v>13</v>
      </c>
      <c r="H51" s="53">
        <v>14.7</v>
      </c>
      <c r="I51" s="53">
        <v>16.4</v>
      </c>
      <c r="J51" s="53">
        <v>18.2</v>
      </c>
      <c r="K51" s="53">
        <v>16.6</v>
      </c>
      <c r="L51" s="53">
        <v>21.7</v>
      </c>
      <c r="M51" s="53">
        <v>23.4</v>
      </c>
      <c r="N51" s="53">
        <v>24</v>
      </c>
      <c r="O51" s="53">
        <v>27</v>
      </c>
      <c r="P51" s="53">
        <v>28.8</v>
      </c>
      <c r="Q51" s="53">
        <v>25.6</v>
      </c>
      <c r="R51" s="53">
        <v>32.4</v>
      </c>
      <c r="S51" s="53">
        <v>34.2</v>
      </c>
      <c r="T51" s="53">
        <v>37.6</v>
      </c>
      <c r="U51" s="53">
        <v>38.8</v>
      </c>
      <c r="V51" s="53">
        <v>34.8</v>
      </c>
      <c r="W51" s="53">
        <v>50.9</v>
      </c>
      <c r="X51" s="53">
        <v>47.9</v>
      </c>
      <c r="Y51" s="53">
        <v>50.6</v>
      </c>
      <c r="Z51" s="53">
        <v>53.4</v>
      </c>
      <c r="AA51" s="53">
        <v>53</v>
      </c>
      <c r="AB51" s="53">
        <v>54.5</v>
      </c>
      <c r="AC51" s="53">
        <v>49.5</v>
      </c>
      <c r="AD51" s="53"/>
      <c r="AE51" s="52">
        <v>2024</v>
      </c>
      <c r="AF51" s="53">
        <v>49.5</v>
      </c>
      <c r="AG51" s="53">
        <v>1.600000000000001</v>
      </c>
      <c r="AH51" s="52">
        <v>5</v>
      </c>
    </row>
    <row r="52" spans="1:34">
      <c r="A52" s="52" t="s">
        <v>78</v>
      </c>
      <c r="B52" s="52" t="s">
        <v>73</v>
      </c>
      <c r="C52" s="52" t="s">
        <v>21</v>
      </c>
      <c r="D52" s="52" t="s">
        <v>63</v>
      </c>
      <c r="E52" s="53">
        <v>6.5</v>
      </c>
      <c r="F52" s="53">
        <v>8.4</v>
      </c>
      <c r="G52" s="53">
        <v>8.800000000000001</v>
      </c>
      <c r="H52" s="53">
        <v>9.300000000000001</v>
      </c>
      <c r="I52" s="53">
        <v>9.699999999999999</v>
      </c>
      <c r="J52" s="53">
        <v>7.1</v>
      </c>
      <c r="K52" s="53">
        <v>9.300000000000001</v>
      </c>
      <c r="L52" s="53">
        <v>11.2</v>
      </c>
      <c r="M52" s="53">
        <v>11.8</v>
      </c>
      <c r="N52" s="53">
        <v>12.3</v>
      </c>
      <c r="O52" s="53">
        <v>13.6</v>
      </c>
      <c r="P52" s="53">
        <v>14.3</v>
      </c>
      <c r="Q52" s="53">
        <v>14.4</v>
      </c>
      <c r="R52" s="53">
        <v>15.2</v>
      </c>
      <c r="S52" s="53">
        <v>15.7</v>
      </c>
      <c r="T52" s="53">
        <v>16.6</v>
      </c>
      <c r="U52" s="53">
        <v>17</v>
      </c>
      <c r="V52" s="53">
        <v>17.6</v>
      </c>
      <c r="W52" s="53">
        <v>17.6</v>
      </c>
      <c r="X52" s="53">
        <v>18.5</v>
      </c>
      <c r="Y52" s="53">
        <v>18.7</v>
      </c>
      <c r="Z52" s="53">
        <v>18.6</v>
      </c>
      <c r="AA52" s="53">
        <v>19.5</v>
      </c>
      <c r="AB52" s="53">
        <v>20.1</v>
      </c>
      <c r="AC52" s="53">
        <v>21.3</v>
      </c>
      <c r="AD52" s="53"/>
      <c r="AE52" s="52">
        <v>2024</v>
      </c>
      <c r="AF52" s="53">
        <v>21.3</v>
      </c>
      <c r="AG52" s="53">
        <v>2.800000000000001</v>
      </c>
      <c r="AH52" s="52">
        <v>8</v>
      </c>
    </row>
    <row r="53" spans="1:34">
      <c r="A53" s="52" t="s">
        <v>79</v>
      </c>
      <c r="B53" s="52" t="s">
        <v>73</v>
      </c>
      <c r="C53" s="52" t="s">
        <v>23</v>
      </c>
      <c r="D53" s="52" t="s">
        <v>63</v>
      </c>
      <c r="E53" s="53">
        <v>37.7</v>
      </c>
      <c r="F53" s="53">
        <v>38.9</v>
      </c>
      <c r="G53" s="53">
        <v>36.8</v>
      </c>
      <c r="H53" s="53">
        <v>41.9</v>
      </c>
      <c r="I53" s="53">
        <v>36.8</v>
      </c>
      <c r="J53" s="53">
        <v>47.1</v>
      </c>
      <c r="K53" s="53">
        <v>49.9</v>
      </c>
      <c r="L53" s="53">
        <v>48.1</v>
      </c>
      <c r="M53" s="53">
        <v>49.7</v>
      </c>
      <c r="N53" s="53">
        <v>53.5</v>
      </c>
      <c r="O53" s="53">
        <v>56.5</v>
      </c>
      <c r="P53" s="53">
        <v>56.5</v>
      </c>
      <c r="Q53" s="53">
        <v>56.5</v>
      </c>
      <c r="R53" s="53">
        <v>57</v>
      </c>
      <c r="S53" s="53">
        <v>61</v>
      </c>
      <c r="T53" s="53">
        <v>60.5</v>
      </c>
      <c r="U53" s="53">
        <v>64.5</v>
      </c>
      <c r="V53" s="53">
        <v>61.7</v>
      </c>
      <c r="W53" s="53">
        <v>66</v>
      </c>
      <c r="X53" s="53">
        <v>70.40000000000001</v>
      </c>
      <c r="Y53" s="53">
        <v>64.3</v>
      </c>
      <c r="Z53" s="53">
        <v>68</v>
      </c>
      <c r="AA53" s="53">
        <v>67.90000000000001</v>
      </c>
      <c r="AB53" s="53">
        <v>74.2</v>
      </c>
      <c r="AC53" s="53">
        <v>82.90000000000001</v>
      </c>
      <c r="AD53" s="53"/>
      <c r="AE53" s="52">
        <v>2024</v>
      </c>
      <c r="AF53" s="53">
        <v>82.90000000000001</v>
      </c>
      <c r="AG53" s="53">
        <v>12.5</v>
      </c>
      <c r="AH53" s="52">
        <v>1</v>
      </c>
    </row>
    <row r="54" spans="1:34">
      <c r="A54" s="52" t="s">
        <v>80</v>
      </c>
      <c r="B54" s="52" t="s">
        <v>73</v>
      </c>
      <c r="C54" s="52" t="s">
        <v>25</v>
      </c>
      <c r="D54" s="52" t="s">
        <v>63</v>
      </c>
      <c r="E54" s="53">
        <v>17</v>
      </c>
      <c r="F54" s="53">
        <v>19.6</v>
      </c>
      <c r="G54" s="53">
        <v>21.3</v>
      </c>
      <c r="H54" s="53">
        <v>23</v>
      </c>
      <c r="I54" s="53">
        <v>24.8</v>
      </c>
      <c r="J54" s="53">
        <v>26.5</v>
      </c>
      <c r="K54" s="53">
        <v>27.9</v>
      </c>
      <c r="L54" s="53">
        <v>30</v>
      </c>
      <c r="M54" s="53">
        <v>31.8</v>
      </c>
      <c r="N54" s="53">
        <v>33.7</v>
      </c>
      <c r="O54" s="53">
        <v>30.8</v>
      </c>
      <c r="P54" s="53">
        <v>39.7</v>
      </c>
      <c r="Q54" s="53">
        <v>39.1</v>
      </c>
      <c r="R54" s="53">
        <v>41</v>
      </c>
      <c r="S54" s="53">
        <v>45.7</v>
      </c>
      <c r="T54" s="53">
        <v>44.7</v>
      </c>
      <c r="U54" s="53">
        <v>46.8</v>
      </c>
      <c r="V54" s="53">
        <v>48</v>
      </c>
      <c r="W54" s="53">
        <v>50</v>
      </c>
      <c r="X54" s="53">
        <v>52.5</v>
      </c>
      <c r="Y54" s="53">
        <v>54.1</v>
      </c>
      <c r="Z54" s="53">
        <v>55.7</v>
      </c>
      <c r="AA54" s="53">
        <v>57.2</v>
      </c>
      <c r="AB54" s="53">
        <v>59.2</v>
      </c>
      <c r="AC54" s="53">
        <v>61.1</v>
      </c>
      <c r="AD54" s="53"/>
      <c r="AE54" s="52">
        <v>2024</v>
      </c>
      <c r="AF54" s="53">
        <v>61.1</v>
      </c>
      <c r="AG54" s="53">
        <v>8.600000000000001</v>
      </c>
      <c r="AH54" s="52">
        <v>3</v>
      </c>
    </row>
    <row r="55" spans="1:34">
      <c r="A55" s="52" t="s">
        <v>81</v>
      </c>
      <c r="B55" s="52" t="s">
        <v>73</v>
      </c>
      <c r="C55" s="52" t="s">
        <v>27</v>
      </c>
      <c r="D55" s="52" t="s">
        <v>63</v>
      </c>
      <c r="E55" s="53">
        <v>21.44285714285714</v>
      </c>
      <c r="F55" s="53">
        <v>22.68571428571429</v>
      </c>
      <c r="G55" s="53">
        <v>20.7375</v>
      </c>
      <c r="H55" s="53">
        <v>22.3375</v>
      </c>
      <c r="I55" s="53">
        <v>22.4875</v>
      </c>
      <c r="J55" s="53">
        <v>25.025</v>
      </c>
      <c r="K55" s="53">
        <v>27.2375</v>
      </c>
      <c r="L55" s="53">
        <v>26.775</v>
      </c>
      <c r="M55" s="53">
        <v>28.475</v>
      </c>
      <c r="N55" s="53">
        <v>28.5125</v>
      </c>
      <c r="O55" s="53">
        <v>29.95</v>
      </c>
      <c r="P55" s="53">
        <v>32.5375</v>
      </c>
      <c r="Q55" s="53">
        <v>32.475</v>
      </c>
      <c r="R55" s="53">
        <v>34.1875</v>
      </c>
      <c r="S55" s="53">
        <v>36.125</v>
      </c>
      <c r="T55" s="53">
        <v>35.9875</v>
      </c>
      <c r="U55" s="53">
        <v>38.4875</v>
      </c>
      <c r="V55" s="53">
        <v>38.15</v>
      </c>
      <c r="W55" s="53">
        <v>41.675</v>
      </c>
      <c r="X55" s="53">
        <v>43.3</v>
      </c>
      <c r="Y55" s="53">
        <v>43.8125</v>
      </c>
      <c r="Z55" s="53">
        <v>45.45</v>
      </c>
      <c r="AA55" s="53">
        <v>47.675</v>
      </c>
      <c r="AB55" s="53">
        <v>49.95</v>
      </c>
      <c r="AC55" s="53">
        <v>53.05</v>
      </c>
      <c r="AD55" s="53"/>
      <c r="AE55" s="52">
        <v>2024</v>
      </c>
      <c r="AF55" s="53">
        <v>53.05</v>
      </c>
      <c r="AG55" s="53">
        <v>9.750000000000002</v>
      </c>
      <c r="AH55" s="52"/>
    </row>
    <row r="56" spans="1:34">
      <c r="A56" s="52" t="s">
        <v>82</v>
      </c>
      <c r="B56" s="52" t="s">
        <v>83</v>
      </c>
      <c r="C56" s="52" t="s">
        <v>10</v>
      </c>
      <c r="D56" s="52" t="s">
        <v>63</v>
      </c>
      <c r="E56" s="53">
        <v>0.225247851473369</v>
      </c>
      <c r="F56" s="53">
        <v>0.363417890016082</v>
      </c>
      <c r="G56" s="53">
        <v>0.7029455951039</v>
      </c>
      <c r="H56" s="53">
        <v>0.951327114915695</v>
      </c>
      <c r="I56" s="53">
        <v>1.18254096518994</v>
      </c>
      <c r="J56" s="53">
        <v>1.271000028</v>
      </c>
      <c r="K56" s="53">
        <v>1.537899971</v>
      </c>
      <c r="L56" s="53">
        <v>1.79</v>
      </c>
      <c r="M56" s="53">
        <v>1.85</v>
      </c>
      <c r="N56" s="53">
        <v>2.24</v>
      </c>
      <c r="O56" s="53">
        <v>3.13</v>
      </c>
      <c r="P56" s="53">
        <v>4.14832306562512</v>
      </c>
      <c r="Q56" s="53">
        <v>4.5</v>
      </c>
      <c r="R56" s="53">
        <v>4.900000095</v>
      </c>
      <c r="S56" s="53">
        <v>6</v>
      </c>
      <c r="T56" s="53">
        <v>11.25500011</v>
      </c>
      <c r="U56" s="53">
        <v>14.5</v>
      </c>
      <c r="V56" s="53">
        <v>18.7</v>
      </c>
      <c r="W56" s="53">
        <v>19</v>
      </c>
      <c r="X56" s="53">
        <v>20.50099945</v>
      </c>
      <c r="Y56" s="53">
        <v>22.12059975</v>
      </c>
      <c r="Z56" s="53">
        <v>28.20470047</v>
      </c>
      <c r="AA56" s="53">
        <v>30.53730011</v>
      </c>
      <c r="AB56" s="53">
        <v>32.39400101</v>
      </c>
      <c r="AC56" s="53">
        <v>33.98379898</v>
      </c>
      <c r="AD56" s="53"/>
      <c r="AE56" s="52">
        <v>2024</v>
      </c>
      <c r="AF56" s="53">
        <v>33.98379898</v>
      </c>
      <c r="AG56" s="53">
        <v>13.48279953</v>
      </c>
      <c r="AH56" s="52">
        <v>5</v>
      </c>
    </row>
    <row r="57" spans="1:34">
      <c r="A57" s="52" t="s">
        <v>84</v>
      </c>
      <c r="B57" s="52" t="s">
        <v>83</v>
      </c>
      <c r="C57" s="52" t="s">
        <v>13</v>
      </c>
      <c r="D57" s="52" t="s">
        <v>63</v>
      </c>
      <c r="E57" s="53">
        <v>0.0770801689426014</v>
      </c>
      <c r="F57" s="53">
        <v>0.157732464653607</v>
      </c>
      <c r="G57" s="53">
        <v>0.200992597925001</v>
      </c>
      <c r="H57" s="53">
        <v>0.373440303233526</v>
      </c>
      <c r="I57" s="53">
        <v>0.400295285492178</v>
      </c>
      <c r="J57" s="53">
        <v>0.469900012</v>
      </c>
      <c r="K57" s="53">
        <v>0.632700026</v>
      </c>
      <c r="L57" s="53">
        <v>0.75</v>
      </c>
      <c r="M57" s="53">
        <v>0.920000017</v>
      </c>
      <c r="N57" s="53">
        <v>1.129999995</v>
      </c>
      <c r="O57" s="53">
        <v>2.400000095</v>
      </c>
      <c r="P57" s="53">
        <v>3</v>
      </c>
      <c r="Q57" s="53">
        <v>3.724999905</v>
      </c>
      <c r="R57" s="53">
        <v>5</v>
      </c>
      <c r="S57" s="53">
        <v>6</v>
      </c>
      <c r="T57" s="53">
        <v>6.545700073</v>
      </c>
      <c r="U57" s="53">
        <v>7.140999794</v>
      </c>
      <c r="V57" s="53">
        <v>7.790400028</v>
      </c>
      <c r="W57" s="53">
        <v>8.498900414</v>
      </c>
      <c r="X57" s="53">
        <v>9.27180600953186</v>
      </c>
      <c r="Y57" s="53">
        <v>12.97319984</v>
      </c>
      <c r="Z57" s="53">
        <v>18.1522007</v>
      </c>
      <c r="AA57" s="53">
        <v>25.3987999</v>
      </c>
      <c r="AB57" s="53">
        <v>25.36120033</v>
      </c>
      <c r="AC57" s="53">
        <v>28.25270081</v>
      </c>
      <c r="AD57" s="53"/>
      <c r="AE57" s="52">
        <v>2024</v>
      </c>
      <c r="AF57" s="53">
        <v>28.25270081</v>
      </c>
      <c r="AG57" s="53">
        <v>18.98089480046814</v>
      </c>
      <c r="AH57" s="52">
        <v>7</v>
      </c>
    </row>
    <row r="58" spans="1:34">
      <c r="A58" s="52" t="s">
        <v>85</v>
      </c>
      <c r="B58" s="52" t="s">
        <v>83</v>
      </c>
      <c r="C58" s="52" t="s">
        <v>15</v>
      </c>
      <c r="D58" s="52" t="s">
        <v>63</v>
      </c>
      <c r="E58" s="53">
        <v>0.231461670612799</v>
      </c>
      <c r="F58" s="53">
        <v>0.395747702246439</v>
      </c>
      <c r="G58" s="53">
        <v>0.497929360753307</v>
      </c>
      <c r="H58" s="53">
        <v>0.758669629452205</v>
      </c>
      <c r="I58" s="53">
        <v>0.8492824147477041</v>
      </c>
      <c r="J58" s="53">
        <v>1.039199948</v>
      </c>
      <c r="K58" s="53">
        <v>1.52489996</v>
      </c>
      <c r="L58" s="53">
        <v>1.799999952</v>
      </c>
      <c r="M58" s="53">
        <v>1.899999976</v>
      </c>
      <c r="N58" s="53">
        <v>2</v>
      </c>
      <c r="O58" s="53">
        <v>2.700000048</v>
      </c>
      <c r="P58" s="53">
        <v>2.900000095</v>
      </c>
      <c r="Q58" s="53">
        <v>4.400000095</v>
      </c>
      <c r="R58" s="53">
        <v>6.599999905</v>
      </c>
      <c r="S58" s="53">
        <v>10</v>
      </c>
      <c r="T58" s="53">
        <v>38.4400001654616</v>
      </c>
      <c r="U58" s="53">
        <v>41.2078149304414</v>
      </c>
      <c r="V58" s="53">
        <v>43.8399208514876</v>
      </c>
      <c r="W58" s="53">
        <v>37.5465361301281</v>
      </c>
      <c r="X58" s="53">
        <v>36.2889545655205</v>
      </c>
      <c r="Y58" s="53">
        <v>36.01660156</v>
      </c>
      <c r="Z58" s="53">
        <v>35.95069885</v>
      </c>
      <c r="AA58" s="53">
        <v>38.41328122</v>
      </c>
      <c r="AB58" s="53">
        <v>40.65284979</v>
      </c>
      <c r="AC58" s="53">
        <v>41.43219902</v>
      </c>
      <c r="AD58" s="53"/>
      <c r="AE58" s="52">
        <v>2024</v>
      </c>
      <c r="AF58" s="53">
        <v>41.43219902</v>
      </c>
      <c r="AG58" s="53">
        <v>5.1432444544795</v>
      </c>
      <c r="AH58" s="52">
        <v>2</v>
      </c>
    </row>
    <row r="59" spans="1:34">
      <c r="A59" s="52" t="s">
        <v>86</v>
      </c>
      <c r="B59" s="52" t="s">
        <v>83</v>
      </c>
      <c r="C59" s="52" t="s">
        <v>17</v>
      </c>
      <c r="D59" s="52" t="s">
        <v>63</v>
      </c>
      <c r="E59" s="53">
        <v>0.230103170591588</v>
      </c>
      <c r="F59" s="53">
        <v>0.299569144677667</v>
      </c>
      <c r="G59" s="53">
        <v>1.02299323436117</v>
      </c>
      <c r="H59" s="53">
        <v>1.35419747762901</v>
      </c>
      <c r="I59" s="53">
        <v>1.80814220342991</v>
      </c>
      <c r="J59" s="53">
        <v>1.90139997</v>
      </c>
      <c r="K59" s="53">
        <v>2.057199955</v>
      </c>
      <c r="L59" s="53">
        <v>2.20630002</v>
      </c>
      <c r="M59" s="53">
        <v>2.35488871087933</v>
      </c>
      <c r="N59" s="53">
        <v>2.30328059172582</v>
      </c>
      <c r="O59" s="53">
        <v>2.450000048</v>
      </c>
      <c r="P59" s="53">
        <v>2.671999931</v>
      </c>
      <c r="Q59" s="53">
        <v>2.894000053</v>
      </c>
      <c r="R59" s="53">
        <v>3.099999905</v>
      </c>
      <c r="S59" s="53">
        <v>3.319999933</v>
      </c>
      <c r="T59" s="53">
        <v>6.099999905</v>
      </c>
      <c r="U59" s="53">
        <v>13.80000019</v>
      </c>
      <c r="V59" s="53">
        <v>14.80000019</v>
      </c>
      <c r="W59" s="53">
        <v>15.69999981</v>
      </c>
      <c r="X59" s="53">
        <v>17.92149925</v>
      </c>
      <c r="Y59" s="53">
        <v>20.45730019</v>
      </c>
      <c r="Z59" s="53">
        <v>23.3519001</v>
      </c>
      <c r="AA59" s="53">
        <v>27.67379951</v>
      </c>
      <c r="AB59" s="53">
        <v>28.71240044</v>
      </c>
      <c r="AC59" s="53">
        <v>29.77739906</v>
      </c>
      <c r="AD59" s="53"/>
      <c r="AE59" s="52">
        <v>2024</v>
      </c>
      <c r="AF59" s="53">
        <v>29.77739906</v>
      </c>
      <c r="AG59" s="53">
        <v>11.85589981</v>
      </c>
      <c r="AH59" s="52">
        <v>6</v>
      </c>
    </row>
    <row r="60" spans="1:34">
      <c r="A60" s="52" t="s">
        <v>87</v>
      </c>
      <c r="B60" s="52" t="s">
        <v>83</v>
      </c>
      <c r="C60" s="52" t="s">
        <v>19</v>
      </c>
      <c r="D60" s="52" t="s">
        <v>63</v>
      </c>
      <c r="E60" s="53">
        <v>0.142545755049184</v>
      </c>
      <c r="F60" s="53">
        <v>0.185897413256084</v>
      </c>
      <c r="G60" s="53">
        <v>0.2270455784917</v>
      </c>
      <c r="H60" s="53">
        <v>0.310364443230575</v>
      </c>
      <c r="I60" s="53">
        <v>0.432819639900985</v>
      </c>
      <c r="J60" s="53">
        <v>0.5070999859999999</v>
      </c>
      <c r="K60" s="53">
        <v>0.729600012</v>
      </c>
      <c r="L60" s="53">
        <v>0.8100000000000001</v>
      </c>
      <c r="M60" s="53">
        <v>1.57</v>
      </c>
      <c r="N60" s="53">
        <v>1.799999952</v>
      </c>
      <c r="O60" s="53">
        <v>2</v>
      </c>
      <c r="P60" s="53">
        <v>2.2</v>
      </c>
      <c r="Q60" s="53">
        <v>2.799999952</v>
      </c>
      <c r="R60" s="53">
        <v>3.5</v>
      </c>
      <c r="S60" s="53">
        <v>7</v>
      </c>
      <c r="T60" s="53">
        <v>10.32999992</v>
      </c>
      <c r="U60" s="53">
        <v>14</v>
      </c>
      <c r="V60" s="53">
        <v>18.89999962</v>
      </c>
      <c r="W60" s="53">
        <v>21.39999962</v>
      </c>
      <c r="X60" s="53">
        <v>24.96030045</v>
      </c>
      <c r="Y60" s="53">
        <v>29.11300087</v>
      </c>
      <c r="Z60" s="53">
        <v>33.95650101</v>
      </c>
      <c r="AA60" s="53">
        <v>35.19919968</v>
      </c>
      <c r="AB60" s="53">
        <v>36.03879929</v>
      </c>
      <c r="AC60" s="53">
        <v>36.80149841</v>
      </c>
      <c r="AD60" s="53"/>
      <c r="AE60" s="52">
        <v>2024</v>
      </c>
      <c r="AF60" s="53">
        <v>36.80149841</v>
      </c>
      <c r="AG60" s="53">
        <v>11.84119796</v>
      </c>
      <c r="AH60" s="52">
        <v>4</v>
      </c>
    </row>
    <row r="61" spans="1:34">
      <c r="A61" s="52" t="s">
        <v>88</v>
      </c>
      <c r="B61" s="52" t="s">
        <v>83</v>
      </c>
      <c r="C61" s="52" t="s">
        <v>21</v>
      </c>
      <c r="D61" s="52" t="s">
        <v>63</v>
      </c>
      <c r="E61" s="53">
        <v>0.0362612938065891</v>
      </c>
      <c r="F61" s="53">
        <v>0.10518543139701</v>
      </c>
      <c r="G61" s="53">
        <v>0.127152468779619</v>
      </c>
      <c r="H61" s="53">
        <v>0.155698703668983</v>
      </c>
      <c r="I61" s="53">
        <v>0.189933733703092</v>
      </c>
      <c r="J61" s="53">
        <v>0.221300006</v>
      </c>
      <c r="K61" s="53">
        <v>0.294</v>
      </c>
      <c r="L61" s="53">
        <v>0.390399992</v>
      </c>
      <c r="M61" s="53">
        <v>0.7</v>
      </c>
      <c r="N61" s="53">
        <v>0.76</v>
      </c>
      <c r="O61" s="53">
        <v>0.829999983</v>
      </c>
      <c r="P61" s="53">
        <v>0.9</v>
      </c>
      <c r="Q61" s="53">
        <v>1.049999952</v>
      </c>
      <c r="R61" s="53">
        <v>1.149999976</v>
      </c>
      <c r="S61" s="53">
        <v>1.24867568902241</v>
      </c>
      <c r="T61" s="53">
        <v>2.476200104</v>
      </c>
      <c r="U61" s="53">
        <v>4.322800159</v>
      </c>
      <c r="V61" s="53">
        <v>10.2243115586561</v>
      </c>
      <c r="W61" s="53">
        <v>10.74180031</v>
      </c>
      <c r="X61" s="53">
        <v>11.28549957</v>
      </c>
      <c r="Y61" s="53">
        <v>11.85680008</v>
      </c>
      <c r="Z61" s="53">
        <v>12.45689964</v>
      </c>
      <c r="AA61" s="53">
        <v>13.08749962</v>
      </c>
      <c r="AB61" s="53">
        <v>12.98079967</v>
      </c>
      <c r="AC61" s="53">
        <v>15.55760002</v>
      </c>
      <c r="AD61" s="53"/>
      <c r="AE61" s="52">
        <v>2024</v>
      </c>
      <c r="AF61" s="53">
        <v>15.55760002</v>
      </c>
      <c r="AG61" s="53">
        <v>4.27210045</v>
      </c>
      <c r="AH61" s="52">
        <v>8</v>
      </c>
    </row>
    <row r="62" spans="1:34">
      <c r="A62" s="52" t="s">
        <v>89</v>
      </c>
      <c r="B62" s="52" t="s">
        <v>83</v>
      </c>
      <c r="C62" s="52" t="s">
        <v>23</v>
      </c>
      <c r="D62" s="52" t="s">
        <v>63</v>
      </c>
      <c r="E62" s="53">
        <v>0.403967485868965</v>
      </c>
      <c r="F62" s="53">
        <v>0.983794058848003</v>
      </c>
      <c r="G62" s="53">
        <v>1.00645453672323</v>
      </c>
      <c r="H62" s="53">
        <v>2.10143642986685</v>
      </c>
      <c r="I62" s="53">
        <v>4.38602398008563</v>
      </c>
      <c r="J62" s="53">
        <v>4.78668408310535</v>
      </c>
      <c r="K62" s="53">
        <v>5.61173865217952</v>
      </c>
      <c r="L62" s="53">
        <v>6.889999866</v>
      </c>
      <c r="M62" s="53">
        <v>7.119999886</v>
      </c>
      <c r="N62" s="53">
        <v>7.5</v>
      </c>
      <c r="O62" s="53">
        <v>8</v>
      </c>
      <c r="P62" s="53">
        <v>9.800000191000001</v>
      </c>
      <c r="Q62" s="53">
        <v>10.80000019</v>
      </c>
      <c r="R62" s="53">
        <v>13.10000038</v>
      </c>
      <c r="S62" s="53">
        <v>17.70000076</v>
      </c>
      <c r="T62" s="53">
        <v>21.70000076</v>
      </c>
      <c r="U62" s="53">
        <v>25.66480064</v>
      </c>
      <c r="V62" s="53">
        <v>29.64310074</v>
      </c>
      <c r="W62" s="53">
        <v>35.29999924</v>
      </c>
      <c r="X62" s="53">
        <v>43.37969971</v>
      </c>
      <c r="Y62" s="53">
        <v>53.30879974</v>
      </c>
      <c r="Z62" s="53">
        <v>55.04040146</v>
      </c>
      <c r="AA62" s="53">
        <v>56.82830048</v>
      </c>
      <c r="AB62" s="53">
        <v>59.18740082</v>
      </c>
      <c r="AC62" s="53">
        <v>60.11780167</v>
      </c>
      <c r="AD62" s="53"/>
      <c r="AE62" s="52">
        <v>2024</v>
      </c>
      <c r="AF62" s="53">
        <v>60.11780167</v>
      </c>
      <c r="AG62" s="53">
        <v>16.73810196</v>
      </c>
      <c r="AH62" s="52">
        <v>1</v>
      </c>
    </row>
    <row r="63" spans="1:34">
      <c r="A63" s="52" t="s">
        <v>90</v>
      </c>
      <c r="B63" s="52" t="s">
        <v>83</v>
      </c>
      <c r="C63" s="52" t="s">
        <v>25</v>
      </c>
      <c r="D63" s="52" t="s">
        <v>63</v>
      </c>
      <c r="E63" s="53">
        <v>0.8</v>
      </c>
      <c r="F63" s="53">
        <v>0.9</v>
      </c>
      <c r="G63" s="53">
        <v>1</v>
      </c>
      <c r="H63" s="53">
        <v>1.2</v>
      </c>
      <c r="I63" s="53">
        <v>1.5</v>
      </c>
      <c r="J63" s="53">
        <v>1.799999952</v>
      </c>
      <c r="K63" s="53">
        <v>2</v>
      </c>
      <c r="L63" s="53">
        <v>2.200000048</v>
      </c>
      <c r="M63" s="53">
        <v>2.400000095</v>
      </c>
      <c r="N63" s="53">
        <v>2.599999905</v>
      </c>
      <c r="O63" s="53">
        <v>3</v>
      </c>
      <c r="P63" s="53">
        <v>3.5</v>
      </c>
      <c r="Q63" s="53">
        <v>4</v>
      </c>
      <c r="R63" s="53">
        <v>4.5</v>
      </c>
      <c r="S63" s="53">
        <v>5.699999809</v>
      </c>
      <c r="T63" s="53">
        <v>7.119999886</v>
      </c>
      <c r="U63" s="53">
        <v>11.31000042</v>
      </c>
      <c r="V63" s="53">
        <v>12.3602249692905</v>
      </c>
      <c r="W63" s="53">
        <v>15.5</v>
      </c>
      <c r="X63" s="53">
        <v>20.72730064</v>
      </c>
      <c r="Y63" s="53">
        <v>29.02370071</v>
      </c>
      <c r="Z63" s="53">
        <v>30.33839989</v>
      </c>
      <c r="AA63" s="53">
        <v>35.60749817</v>
      </c>
      <c r="AB63" s="53">
        <v>37.57020187</v>
      </c>
      <c r="AC63" s="53">
        <v>39.48320007</v>
      </c>
      <c r="AD63" s="53"/>
      <c r="AE63" s="52">
        <v>2024</v>
      </c>
      <c r="AF63" s="53">
        <v>39.48320007</v>
      </c>
      <c r="AG63" s="53">
        <v>18.75589943</v>
      </c>
      <c r="AH63" s="52">
        <v>3</v>
      </c>
    </row>
    <row r="64" spans="1:34">
      <c r="A64" s="52" t="s">
        <v>91</v>
      </c>
      <c r="B64" s="52" t="s">
        <v>83</v>
      </c>
      <c r="C64" s="52" t="s">
        <v>27</v>
      </c>
      <c r="D64" s="52" t="s">
        <v>63</v>
      </c>
      <c r="E64" s="53">
        <v>0.268333424543137</v>
      </c>
      <c r="F64" s="53">
        <v>0.4239180131368615</v>
      </c>
      <c r="G64" s="53">
        <v>0.5981891715172409</v>
      </c>
      <c r="H64" s="53">
        <v>0.9006417627496055</v>
      </c>
      <c r="I64" s="53">
        <v>1.34362977781868</v>
      </c>
      <c r="J64" s="53">
        <v>1.499572998138169</v>
      </c>
      <c r="K64" s="53">
        <v>1.79850482202244</v>
      </c>
      <c r="L64" s="53">
        <v>2.10458748475</v>
      </c>
      <c r="M64" s="53">
        <v>2.351861085609916</v>
      </c>
      <c r="N64" s="53">
        <v>2.541660055465727</v>
      </c>
      <c r="O64" s="53">
        <v>3.06375002175</v>
      </c>
      <c r="P64" s="53">
        <v>3.64004041032814</v>
      </c>
      <c r="Q64" s="53">
        <v>4.271125018375</v>
      </c>
      <c r="R64" s="53">
        <v>5.231250032625</v>
      </c>
      <c r="S64" s="53">
        <v>7.121084523877801</v>
      </c>
      <c r="T64" s="53">
        <v>12.9958626154327</v>
      </c>
      <c r="U64" s="53">
        <v>16.49330201668018</v>
      </c>
      <c r="V64" s="53">
        <v>19.53224474467928</v>
      </c>
      <c r="W64" s="53">
        <v>20.46090444051601</v>
      </c>
      <c r="X64" s="53">
        <v>23.04200745563154</v>
      </c>
      <c r="Y64" s="53">
        <v>26.8587503425</v>
      </c>
      <c r="Z64" s="53">
        <v>29.681462765</v>
      </c>
      <c r="AA64" s="53">
        <v>32.84320983625</v>
      </c>
      <c r="AB64" s="53">
        <v>34.1122066525</v>
      </c>
      <c r="AC64" s="53">
        <v>35.675774755</v>
      </c>
      <c r="AD64" s="53"/>
      <c r="AE64" s="52">
        <v>2024</v>
      </c>
      <c r="AF64" s="53">
        <v>35.675774755</v>
      </c>
      <c r="AG64" s="53">
        <v>12.63376729936846</v>
      </c>
      <c r="AH64" s="52"/>
    </row>
    <row r="65" spans="1:34">
      <c r="A65" s="52" t="s">
        <v>92</v>
      </c>
      <c r="B65" s="52" t="s">
        <v>93</v>
      </c>
      <c r="C65" s="52" t="s">
        <v>10</v>
      </c>
      <c r="D65" s="52" t="s">
        <v>94</v>
      </c>
      <c r="E65" s="53">
        <v>56.594</v>
      </c>
      <c r="F65" s="53">
        <v>56.654</v>
      </c>
      <c r="G65" s="53">
        <v>56.851</v>
      </c>
      <c r="H65" s="53">
        <v>57.092</v>
      </c>
      <c r="I65" s="53">
        <v>57.346</v>
      </c>
      <c r="J65" s="53">
        <v>57.738</v>
      </c>
      <c r="K65" s="53">
        <v>57.966</v>
      </c>
      <c r="L65" s="53">
        <v>58.249</v>
      </c>
      <c r="M65" s="53">
        <v>58.099</v>
      </c>
      <c r="N65" s="53">
        <v>58.258</v>
      </c>
      <c r="O65" s="53">
        <v>58.387</v>
      </c>
      <c r="P65" s="53">
        <v>58.462</v>
      </c>
      <c r="Q65" s="53">
        <v>58.559</v>
      </c>
      <c r="R65" s="53">
        <v>58.863</v>
      </c>
      <c r="S65" s="53">
        <v>59.008</v>
      </c>
      <c r="T65" s="53">
        <v>59.123</v>
      </c>
      <c r="U65" s="53">
        <v>59.283</v>
      </c>
      <c r="V65" s="53">
        <v>59.528</v>
      </c>
      <c r="W65" s="53">
        <v>59.71</v>
      </c>
      <c r="X65" s="53">
        <v>59.888</v>
      </c>
      <c r="Y65" s="53">
        <v>60.154</v>
      </c>
      <c r="Z65" s="53">
        <v>59.61</v>
      </c>
      <c r="AA65" s="53">
        <v>60.475</v>
      </c>
      <c r="AB65" s="53">
        <v>60.774</v>
      </c>
      <c r="AC65" s="53">
        <v>60.961</v>
      </c>
      <c r="AD65" s="53"/>
      <c r="AE65" s="52">
        <v>2024</v>
      </c>
      <c r="AF65" s="53">
        <v>60.961</v>
      </c>
      <c r="AG65" s="53">
        <v>1.073</v>
      </c>
      <c r="AH65" s="52">
        <v>7</v>
      </c>
    </row>
    <row r="66" spans="1:34">
      <c r="A66" s="52" t="s">
        <v>95</v>
      </c>
      <c r="B66" s="52" t="s">
        <v>93</v>
      </c>
      <c r="C66" s="52" t="s">
        <v>13</v>
      </c>
      <c r="D66" s="52" t="s">
        <v>94</v>
      </c>
      <c r="E66" s="53">
        <v>50.808</v>
      </c>
      <c r="F66" s="53">
        <v>51.188</v>
      </c>
      <c r="G66" s="53">
        <v>51.447</v>
      </c>
      <c r="H66" s="53">
        <v>51.959</v>
      </c>
      <c r="I66" s="53">
        <v>52.6</v>
      </c>
      <c r="J66" s="53">
        <v>53.271</v>
      </c>
      <c r="K66" s="53">
        <v>53.784</v>
      </c>
      <c r="L66" s="53">
        <v>54.377</v>
      </c>
      <c r="M66" s="53">
        <v>55.199</v>
      </c>
      <c r="N66" s="53">
        <v>55.791</v>
      </c>
      <c r="O66" s="53">
        <v>56.343</v>
      </c>
      <c r="P66" s="53">
        <v>57.001</v>
      </c>
      <c r="Q66" s="53">
        <v>57.457</v>
      </c>
      <c r="R66" s="53">
        <v>57.903</v>
      </c>
      <c r="S66" s="53">
        <v>58.331</v>
      </c>
      <c r="T66" s="53">
        <v>58.778</v>
      </c>
      <c r="U66" s="53">
        <v>59.173</v>
      </c>
      <c r="V66" s="53">
        <v>59.578</v>
      </c>
      <c r="W66" s="53">
        <v>59.972</v>
      </c>
      <c r="X66" s="53">
        <v>60.184</v>
      </c>
      <c r="Y66" s="53">
        <v>60.454</v>
      </c>
      <c r="Z66" s="53">
        <v>60.046</v>
      </c>
      <c r="AA66" s="53">
        <v>60.7</v>
      </c>
      <c r="AB66" s="53">
        <v>61.092</v>
      </c>
      <c r="AC66" s="53">
        <v>61.292</v>
      </c>
      <c r="AD66" s="53"/>
      <c r="AE66" s="52">
        <v>2024</v>
      </c>
      <c r="AF66" s="53">
        <v>61.292</v>
      </c>
      <c r="AG66" s="53">
        <v>1.108000000000004</v>
      </c>
      <c r="AH66" s="52">
        <v>6</v>
      </c>
    </row>
    <row r="67" spans="1:34">
      <c r="A67" s="52" t="s">
        <v>96</v>
      </c>
      <c r="B67" s="52" t="s">
        <v>93</v>
      </c>
      <c r="C67" s="52" t="s">
        <v>15</v>
      </c>
      <c r="D67" s="52" t="s">
        <v>94</v>
      </c>
      <c r="E67" s="53">
        <v>51.393</v>
      </c>
      <c r="F67" s="53">
        <v>51.428</v>
      </c>
      <c r="G67" s="53">
        <v>51.544</v>
      </c>
      <c r="H67" s="53">
        <v>51.443</v>
      </c>
      <c r="I67" s="53">
        <v>51.939</v>
      </c>
      <c r="J67" s="53">
        <v>52.432</v>
      </c>
      <c r="K67" s="53">
        <v>52.885</v>
      </c>
      <c r="L67" s="53">
        <v>53.452</v>
      </c>
      <c r="M67" s="53">
        <v>54.179</v>
      </c>
      <c r="N67" s="53">
        <v>54.744</v>
      </c>
      <c r="O67" s="53">
        <v>55.282</v>
      </c>
      <c r="P67" s="53">
        <v>55.972</v>
      </c>
      <c r="Q67" s="53">
        <v>56.57</v>
      </c>
      <c r="R67" s="53">
        <v>57.057</v>
      </c>
      <c r="S67" s="53">
        <v>57.772</v>
      </c>
      <c r="T67" s="53">
        <v>58.281</v>
      </c>
      <c r="U67" s="53">
        <v>58.814</v>
      </c>
      <c r="V67" s="53">
        <v>59.315</v>
      </c>
      <c r="W67" s="53">
        <v>59.795</v>
      </c>
      <c r="X67" s="53">
        <v>60.274</v>
      </c>
      <c r="Y67" s="53">
        <v>60.14</v>
      </c>
      <c r="Z67" s="53">
        <v>60.29</v>
      </c>
      <c r="AA67" s="53">
        <v>61.562</v>
      </c>
      <c r="AB67" s="53">
        <v>61.944</v>
      </c>
      <c r="AC67" s="53">
        <v>62.11</v>
      </c>
      <c r="AD67" s="53"/>
      <c r="AE67" s="52">
        <v>2024</v>
      </c>
      <c r="AF67" s="53">
        <v>62.11</v>
      </c>
      <c r="AG67" s="53">
        <v>1.835999999999999</v>
      </c>
      <c r="AH67" s="52">
        <v>4</v>
      </c>
    </row>
    <row r="68" spans="1:34">
      <c r="A68" s="52" t="s">
        <v>97</v>
      </c>
      <c r="B68" s="52" t="s">
        <v>93</v>
      </c>
      <c r="C68" s="52" t="s">
        <v>17</v>
      </c>
      <c r="D68" s="52" t="s">
        <v>94</v>
      </c>
      <c r="E68" s="53">
        <v>50.565</v>
      </c>
      <c r="F68" s="53">
        <v>51.054</v>
      </c>
      <c r="G68" s="53">
        <v>51.608</v>
      </c>
      <c r="H68" s="53">
        <v>52.186</v>
      </c>
      <c r="I68" s="53">
        <v>52.8</v>
      </c>
      <c r="J68" s="53">
        <v>52.949</v>
      </c>
      <c r="K68" s="53">
        <v>54.089</v>
      </c>
      <c r="L68" s="53">
        <v>54.87</v>
      </c>
      <c r="M68" s="53">
        <v>55.3</v>
      </c>
      <c r="N68" s="53">
        <v>56.297</v>
      </c>
      <c r="O68" s="53">
        <v>56.999</v>
      </c>
      <c r="P68" s="53">
        <v>57.663</v>
      </c>
      <c r="Q68" s="53">
        <v>58.27</v>
      </c>
      <c r="R68" s="53">
        <v>58.879</v>
      </c>
      <c r="S68" s="53">
        <v>59.476</v>
      </c>
      <c r="T68" s="53">
        <v>60.071</v>
      </c>
      <c r="U68" s="53">
        <v>60.619</v>
      </c>
      <c r="V68" s="53">
        <v>61.148</v>
      </c>
      <c r="W68" s="53">
        <v>61.652</v>
      </c>
      <c r="X68" s="53">
        <v>62.161</v>
      </c>
      <c r="Y68" s="53">
        <v>61.343</v>
      </c>
      <c r="Z68" s="53">
        <v>61.653</v>
      </c>
      <c r="AA68" s="53">
        <v>63.605</v>
      </c>
      <c r="AB68" s="53">
        <v>64.08499999999999</v>
      </c>
      <c r="AC68" s="53">
        <v>64.254</v>
      </c>
      <c r="AD68" s="53"/>
      <c r="AE68" s="52">
        <v>2024</v>
      </c>
      <c r="AF68" s="53">
        <v>64.254</v>
      </c>
      <c r="AG68" s="53">
        <v>2.093000000000004</v>
      </c>
      <c r="AH68" s="52">
        <v>2</v>
      </c>
    </row>
    <row r="69" spans="1:34">
      <c r="A69" s="52" t="s">
        <v>98</v>
      </c>
      <c r="B69" s="52" t="s">
        <v>93</v>
      </c>
      <c r="C69" s="52" t="s">
        <v>19</v>
      </c>
      <c r="D69" s="52" t="s">
        <v>94</v>
      </c>
      <c r="E69" s="53">
        <v>50.605</v>
      </c>
      <c r="F69" s="53">
        <v>51.3</v>
      </c>
      <c r="G69" s="53">
        <v>51.995</v>
      </c>
      <c r="H69" s="53">
        <v>52.632</v>
      </c>
      <c r="I69" s="53">
        <v>53.253</v>
      </c>
      <c r="J69" s="53">
        <v>53.792</v>
      </c>
      <c r="K69" s="53">
        <v>54.305</v>
      </c>
      <c r="L69" s="53">
        <v>54.756</v>
      </c>
      <c r="M69" s="53">
        <v>55.187</v>
      </c>
      <c r="N69" s="53">
        <v>55.588</v>
      </c>
      <c r="O69" s="53">
        <v>55.993</v>
      </c>
      <c r="P69" s="53">
        <v>56.367</v>
      </c>
      <c r="Q69" s="53">
        <v>56.696</v>
      </c>
      <c r="R69" s="53">
        <v>57.052</v>
      </c>
      <c r="S69" s="53">
        <v>57.482</v>
      </c>
      <c r="T69" s="53">
        <v>57.852</v>
      </c>
      <c r="U69" s="53">
        <v>58.286</v>
      </c>
      <c r="V69" s="53">
        <v>58.562</v>
      </c>
      <c r="W69" s="53">
        <v>58.873</v>
      </c>
      <c r="X69" s="53">
        <v>59.217</v>
      </c>
      <c r="Y69" s="53">
        <v>58.858</v>
      </c>
      <c r="Z69" s="53">
        <v>59.116</v>
      </c>
      <c r="AA69" s="53">
        <v>60.035</v>
      </c>
      <c r="AB69" s="53">
        <v>60.439</v>
      </c>
      <c r="AC69" s="53">
        <v>60.675</v>
      </c>
      <c r="AD69" s="53"/>
      <c r="AE69" s="52">
        <v>2024</v>
      </c>
      <c r="AF69" s="53">
        <v>60.675</v>
      </c>
      <c r="AG69" s="53">
        <v>1.457999999999998</v>
      </c>
      <c r="AH69" s="52">
        <v>8</v>
      </c>
    </row>
    <row r="70" spans="1:34">
      <c r="A70" s="52" t="s">
        <v>99</v>
      </c>
      <c r="B70" s="52" t="s">
        <v>93</v>
      </c>
      <c r="C70" s="52" t="s">
        <v>21</v>
      </c>
      <c r="D70" s="52" t="s">
        <v>94</v>
      </c>
      <c r="E70" s="53">
        <v>49.172</v>
      </c>
      <c r="F70" s="53">
        <v>49.872</v>
      </c>
      <c r="G70" s="53">
        <v>50.645</v>
      </c>
      <c r="H70" s="53">
        <v>51.545</v>
      </c>
      <c r="I70" s="53">
        <v>52.402</v>
      </c>
      <c r="J70" s="53">
        <v>53.32</v>
      </c>
      <c r="K70" s="53">
        <v>54.223</v>
      </c>
      <c r="L70" s="53">
        <v>55.063</v>
      </c>
      <c r="M70" s="53">
        <v>55.852</v>
      </c>
      <c r="N70" s="53">
        <v>56.487</v>
      </c>
      <c r="O70" s="53">
        <v>57.08</v>
      </c>
      <c r="P70" s="53">
        <v>57.6</v>
      </c>
      <c r="Q70" s="53">
        <v>57.987</v>
      </c>
      <c r="R70" s="53">
        <v>58.364</v>
      </c>
      <c r="S70" s="53">
        <v>58.693</v>
      </c>
      <c r="T70" s="53">
        <v>58.85</v>
      </c>
      <c r="U70" s="53">
        <v>59.228</v>
      </c>
      <c r="V70" s="53">
        <v>59.524</v>
      </c>
      <c r="W70" s="53">
        <v>59.765</v>
      </c>
      <c r="X70" s="53">
        <v>60.031</v>
      </c>
      <c r="Y70" s="53">
        <v>59.89</v>
      </c>
      <c r="Z70" s="53">
        <v>59.542</v>
      </c>
      <c r="AA70" s="53">
        <v>60.398</v>
      </c>
      <c r="AB70" s="53">
        <v>61.183</v>
      </c>
      <c r="AC70" s="53">
        <v>61.433</v>
      </c>
      <c r="AD70" s="53"/>
      <c r="AE70" s="52">
        <v>2024</v>
      </c>
      <c r="AF70" s="53">
        <v>61.433</v>
      </c>
      <c r="AG70" s="53">
        <v>1.402000000000001</v>
      </c>
      <c r="AH70" s="52">
        <v>5</v>
      </c>
    </row>
    <row r="71" spans="1:34">
      <c r="A71" s="52" t="s">
        <v>100</v>
      </c>
      <c r="B71" s="52" t="s">
        <v>93</v>
      </c>
      <c r="C71" s="52" t="s">
        <v>23</v>
      </c>
      <c r="D71" s="52" t="s">
        <v>94</v>
      </c>
      <c r="E71" s="53">
        <v>57.615</v>
      </c>
      <c r="F71" s="53">
        <v>58.158</v>
      </c>
      <c r="G71" s="53">
        <v>58.912</v>
      </c>
      <c r="H71" s="53">
        <v>59.474</v>
      </c>
      <c r="I71" s="53">
        <v>60.308</v>
      </c>
      <c r="J71" s="53">
        <v>60.98</v>
      </c>
      <c r="K71" s="53">
        <v>61.801</v>
      </c>
      <c r="L71" s="53">
        <v>62.653</v>
      </c>
      <c r="M71" s="53">
        <v>63.201</v>
      </c>
      <c r="N71" s="53">
        <v>63.751</v>
      </c>
      <c r="O71" s="53">
        <v>64.221</v>
      </c>
      <c r="P71" s="53">
        <v>64.79900000000001</v>
      </c>
      <c r="Q71" s="53">
        <v>65.229</v>
      </c>
      <c r="R71" s="53">
        <v>65.63800000000001</v>
      </c>
      <c r="S71" s="53">
        <v>66.001</v>
      </c>
      <c r="T71" s="53">
        <v>66.45099999999999</v>
      </c>
      <c r="U71" s="53">
        <v>66.724</v>
      </c>
      <c r="V71" s="53">
        <v>67.059</v>
      </c>
      <c r="W71" s="53">
        <v>67.379</v>
      </c>
      <c r="X71" s="53">
        <v>67.66800000000001</v>
      </c>
      <c r="Y71" s="53">
        <v>67.496</v>
      </c>
      <c r="Z71" s="53">
        <v>66.86799999999999</v>
      </c>
      <c r="AA71" s="53">
        <v>67.788</v>
      </c>
      <c r="AB71" s="53">
        <v>68.68300000000001</v>
      </c>
      <c r="AC71" s="53">
        <v>68.92400000000001</v>
      </c>
      <c r="AD71" s="53"/>
      <c r="AE71" s="52">
        <v>2024</v>
      </c>
      <c r="AF71" s="53">
        <v>68.92400000000001</v>
      </c>
      <c r="AG71" s="53">
        <v>1.256</v>
      </c>
      <c r="AH71" s="52">
        <v>1</v>
      </c>
    </row>
    <row r="72" spans="1:34">
      <c r="A72" s="52" t="s">
        <v>101</v>
      </c>
      <c r="B72" s="52" t="s">
        <v>93</v>
      </c>
      <c r="C72" s="52" t="s">
        <v>25</v>
      </c>
      <c r="D72" s="52" t="s">
        <v>94</v>
      </c>
      <c r="E72" s="53">
        <v>54.587</v>
      </c>
      <c r="F72" s="53">
        <v>54.757</v>
      </c>
      <c r="G72" s="53">
        <v>55.044</v>
      </c>
      <c r="H72" s="53">
        <v>55.312</v>
      </c>
      <c r="I72" s="53">
        <v>55.608</v>
      </c>
      <c r="J72" s="53">
        <v>55.931</v>
      </c>
      <c r="K72" s="53">
        <v>56.154</v>
      </c>
      <c r="L72" s="53">
        <v>56.395</v>
      </c>
      <c r="M72" s="53">
        <v>56.663</v>
      </c>
      <c r="N72" s="53">
        <v>56.94</v>
      </c>
      <c r="O72" s="53">
        <v>57.24</v>
      </c>
      <c r="P72" s="53">
        <v>57.624</v>
      </c>
      <c r="Q72" s="53">
        <v>57.953</v>
      </c>
      <c r="R72" s="53">
        <v>58.356</v>
      </c>
      <c r="S72" s="53">
        <v>58.776</v>
      </c>
      <c r="T72" s="53">
        <v>59.23</v>
      </c>
      <c r="U72" s="53">
        <v>59.677</v>
      </c>
      <c r="V72" s="53">
        <v>60.145</v>
      </c>
      <c r="W72" s="53">
        <v>60.608</v>
      </c>
      <c r="X72" s="53">
        <v>61.061</v>
      </c>
      <c r="Y72" s="53">
        <v>61.14</v>
      </c>
      <c r="Z72" s="53">
        <v>61.337</v>
      </c>
      <c r="AA72" s="53">
        <v>62.292</v>
      </c>
      <c r="AB72" s="53">
        <v>62.74</v>
      </c>
      <c r="AC72" s="53">
        <v>62.935</v>
      </c>
      <c r="AD72" s="53"/>
      <c r="AE72" s="52">
        <v>2024</v>
      </c>
      <c r="AF72" s="53">
        <v>62.935</v>
      </c>
      <c r="AG72" s="53">
        <v>1.874000000000002</v>
      </c>
      <c r="AH72" s="52">
        <v>3</v>
      </c>
    </row>
    <row r="73" spans="1:34">
      <c r="A73" s="52" t="s">
        <v>102</v>
      </c>
      <c r="B73" s="52" t="s">
        <v>93</v>
      </c>
      <c r="C73" s="52" t="s">
        <v>27</v>
      </c>
      <c r="D73" s="52" t="s">
        <v>94</v>
      </c>
      <c r="E73" s="53">
        <v>52.667375</v>
      </c>
      <c r="F73" s="53">
        <v>53.051375</v>
      </c>
      <c r="G73" s="53">
        <v>53.50575</v>
      </c>
      <c r="H73" s="53">
        <v>53.955375</v>
      </c>
      <c r="I73" s="53">
        <v>54.532</v>
      </c>
      <c r="J73" s="53">
        <v>55.051625</v>
      </c>
      <c r="K73" s="53">
        <v>55.650875</v>
      </c>
      <c r="L73" s="53">
        <v>56.226875</v>
      </c>
      <c r="M73" s="53">
        <v>56.71</v>
      </c>
      <c r="N73" s="53">
        <v>57.232</v>
      </c>
      <c r="O73" s="53">
        <v>57.693125</v>
      </c>
      <c r="P73" s="53">
        <v>58.186</v>
      </c>
      <c r="Q73" s="53">
        <v>58.590125</v>
      </c>
      <c r="R73" s="53">
        <v>59.014</v>
      </c>
      <c r="S73" s="53">
        <v>59.442375</v>
      </c>
      <c r="T73" s="53">
        <v>59.8295</v>
      </c>
      <c r="U73" s="53">
        <v>60.2255</v>
      </c>
      <c r="V73" s="53">
        <v>60.607375</v>
      </c>
      <c r="W73" s="53">
        <v>60.96925</v>
      </c>
      <c r="X73" s="53">
        <v>61.3105</v>
      </c>
      <c r="Y73" s="53">
        <v>61.184375</v>
      </c>
      <c r="Z73" s="53">
        <v>61.05775</v>
      </c>
      <c r="AA73" s="53">
        <v>62.106875</v>
      </c>
      <c r="AB73" s="53">
        <v>62.6175</v>
      </c>
      <c r="AC73" s="53">
        <v>62.823</v>
      </c>
      <c r="AD73" s="53"/>
      <c r="AE73" s="52">
        <v>2024</v>
      </c>
      <c r="AF73" s="53">
        <v>62.823</v>
      </c>
      <c r="AG73" s="53">
        <v>1.512500000000001</v>
      </c>
      <c r="AH73" s="52"/>
    </row>
  </sheetData>
  <autoFilter ref="A1:AH7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9"/>
  <sheetViews>
    <sheetView workbookViewId="0"/>
  </sheetViews>
  <sheetFormatPr defaultRowHeight="15"/>
  <cols>
    <col min="1" max="1" width="28.7109375" customWidth="1"/>
    <col min="2" max="3" width="18.7109375" customWidth="1"/>
    <col min="4" max="4" width="26.7109375" customWidth="1"/>
  </cols>
  <sheetData>
    <row r="1" spans="1:7">
      <c r="A1" s="54" t="s">
        <v>103</v>
      </c>
      <c r="B1" s="54" t="s">
        <v>104</v>
      </c>
      <c r="D1" s="54" t="s">
        <v>114</v>
      </c>
      <c r="E1" s="54" t="s">
        <v>0</v>
      </c>
      <c r="F1" s="54" t="s">
        <v>3</v>
      </c>
      <c r="G1" s="54" t="s">
        <v>115</v>
      </c>
    </row>
    <row r="2" spans="1:7">
      <c r="A2" t="s">
        <v>10</v>
      </c>
      <c r="B2" t="s">
        <v>105</v>
      </c>
      <c r="D2" t="s">
        <v>9</v>
      </c>
      <c r="E2" t="s">
        <v>116</v>
      </c>
      <c r="F2" t="s">
        <v>11</v>
      </c>
    </row>
    <row r="3" spans="1:7">
      <c r="A3" t="s">
        <v>13</v>
      </c>
      <c r="B3" t="s">
        <v>106</v>
      </c>
      <c r="D3" t="s">
        <v>29</v>
      </c>
      <c r="E3" t="s">
        <v>117</v>
      </c>
      <c r="F3" t="s">
        <v>30</v>
      </c>
    </row>
    <row r="4" spans="1:7">
      <c r="A4" t="s">
        <v>15</v>
      </c>
      <c r="B4" t="s">
        <v>107</v>
      </c>
      <c r="D4" t="s">
        <v>40</v>
      </c>
      <c r="E4" t="s">
        <v>118</v>
      </c>
      <c r="F4" t="s">
        <v>41</v>
      </c>
    </row>
    <row r="5" spans="1:7">
      <c r="A5" t="s">
        <v>17</v>
      </c>
      <c r="B5" t="s">
        <v>108</v>
      </c>
      <c r="D5" t="s">
        <v>51</v>
      </c>
      <c r="E5" t="s">
        <v>119</v>
      </c>
      <c r="F5" t="s">
        <v>52</v>
      </c>
    </row>
    <row r="6" spans="1:7">
      <c r="A6" t="s">
        <v>19</v>
      </c>
      <c r="B6" t="s">
        <v>109</v>
      </c>
      <c r="D6" t="s">
        <v>62</v>
      </c>
      <c r="E6" t="s">
        <v>120</v>
      </c>
      <c r="F6" t="s">
        <v>63</v>
      </c>
    </row>
    <row r="7" spans="1:7">
      <c r="A7" t="s">
        <v>21</v>
      </c>
      <c r="B7" t="s">
        <v>110</v>
      </c>
      <c r="D7" t="s">
        <v>73</v>
      </c>
      <c r="E7" t="s">
        <v>121</v>
      </c>
      <c r="F7" t="s">
        <v>63</v>
      </c>
    </row>
    <row r="8" spans="1:7">
      <c r="A8" t="s">
        <v>23</v>
      </c>
      <c r="B8" t="s">
        <v>111</v>
      </c>
      <c r="D8" t="s">
        <v>83</v>
      </c>
      <c r="E8" t="s">
        <v>122</v>
      </c>
      <c r="F8" t="s">
        <v>63</v>
      </c>
    </row>
    <row r="9" spans="1:7">
      <c r="A9" t="s">
        <v>25</v>
      </c>
      <c r="B9" t="s">
        <v>112</v>
      </c>
      <c r="D9" t="s">
        <v>93</v>
      </c>
      <c r="E9" t="s">
        <v>123</v>
      </c>
      <c r="F9" t="s">
        <v>94</v>
      </c>
    </row>
    <row r="10" spans="1:7">
      <c r="A10" t="s">
        <v>27</v>
      </c>
      <c r="B10" t="s">
        <v>113</v>
      </c>
    </row>
    <row r="13" spans="1:7">
      <c r="A13" s="54" t="s">
        <v>124</v>
      </c>
      <c r="B13">
        <f>IFERROR(INDEX($B$2:$B$10,MATCH('Tableau de bord'!$D$7,$A$2:$A$10,0)),"UEMOA")</f>
        <v>0</v>
      </c>
    </row>
    <row r="14" spans="1:7">
      <c r="A14" s="54" t="s">
        <v>125</v>
      </c>
      <c r="B14">
        <f>IFERROR(INDEX($B$2:$B$10,MATCH('Tableau de bord'!$L$7,$A$2:$A$10,0)),"UEMOA")</f>
        <v>0</v>
      </c>
    </row>
    <row r="15" spans="1:7">
      <c r="A15" s="54" t="s">
        <v>126</v>
      </c>
      <c r="B15">
        <f>IFERROR(INDEX($E$2:$E$9,MATCH('Tableau de bord'!$D$27,$D$2:$D$9,0)),"growth")</f>
        <v>0</v>
      </c>
    </row>
    <row r="16" spans="1:7">
      <c r="A16" s="54" t="s">
        <v>127</v>
      </c>
      <c r="B16">
        <f>IFERROR(INDEX($F$2:$F$9,MATCH('Tableau de bord'!$D$27,$D$2:$D$9,0)),"")</f>
        <v>0</v>
      </c>
    </row>
    <row r="17" spans="1:4">
      <c r="A17" s="54" t="s">
        <v>128</v>
      </c>
      <c r="B17">
        <f>'Tableau de bord'!$D$27&amp;" ("&amp;$B$16&amp;") : "&amp;$B$19&amp;IF($B$14=$B$13,""," et "&amp;$B$20)</f>
        <v>0</v>
      </c>
    </row>
    <row r="18" spans="1:4">
      <c r="A18" s="54" t="s">
        <v>129</v>
      </c>
      <c r="B18">
        <f>'Tableau de bord'!$D$27&amp;" : dernière valeur, par pays"</f>
        <v>0</v>
      </c>
    </row>
    <row r="19" spans="1:4">
      <c r="A19" s="54" t="s">
        <v>130</v>
      </c>
      <c r="B19">
        <f>IF($B$13="UEMOA","Moyenne UEMOA",'Tableau de bord'!$D$7)</f>
        <v>0</v>
      </c>
    </row>
    <row r="20" spans="1:4">
      <c r="A20" s="54" t="s">
        <v>131</v>
      </c>
      <c r="B20">
        <f>IF($B$14="UEMOA","Moyenne UEMOA",'Tableau de bord'!$L$7)</f>
        <v>0</v>
      </c>
    </row>
    <row r="23" spans="1:4">
      <c r="A23" s="54" t="s">
        <v>132</v>
      </c>
      <c r="B23" s="54" t="s">
        <v>133</v>
      </c>
      <c r="C23" s="54" t="s">
        <v>134</v>
      </c>
      <c r="D23" s="54" t="s">
        <v>135</v>
      </c>
    </row>
    <row r="24" spans="1:4">
      <c r="A24">
        <v>2000</v>
      </c>
      <c r="B24">
        <f>IFERROR(IF(INDEX('Données'!$E$2:$AD$73,MATCH($B$15&amp;"|"&amp;$B$13,'Données'!$A$2:$A$73,0),MATCH($A24,'Données'!$E$1:$AD$1,0))="",NA(),INDEX('Données'!$E$2:$AD$73,MATCH($B$15&amp;"|"&amp;$B$13,'Données'!$A$2:$A$73,0),MATCH($A24,'Données'!$E$1:$AD$1,0))),NA())</f>
        <v>0</v>
      </c>
      <c r="C24">
        <f>IFERROR(IF(INDEX('Données'!$E$2:$AD$73,MATCH($B$15&amp;"|"&amp;$B$14,'Données'!$A$2:$A$73,0),MATCH($A24,'Données'!$E$1:$AD$1,0))="",NA(),INDEX('Données'!$E$2:$AD$73,MATCH($B$15&amp;"|"&amp;$B$14,'Données'!$A$2:$A$73,0),MATCH($A24,'Données'!$E$1:$AD$1,0))),NA())</f>
        <v>0</v>
      </c>
      <c r="D24">
        <f>IFERROR(IF(INDEX('Données'!$E$2:$AD$73,MATCH($B$15&amp;"|"&amp;"UEMOA",'Données'!$A$2:$A$73,0),MATCH($A24,'Données'!$E$1:$AD$1,0))="",NA(),INDEX('Données'!$E$2:$AD$73,MATCH($B$15&amp;"|"&amp;"UEMOA",'Données'!$A$2:$A$73,0),MATCH($A24,'Données'!$E$1:$AD$1,0))),NA())</f>
        <v>0</v>
      </c>
    </row>
    <row r="25" spans="1:4">
      <c r="A25">
        <v>2001</v>
      </c>
      <c r="B25">
        <f>IFERROR(IF(INDEX('Données'!$E$2:$AD$73,MATCH($B$15&amp;"|"&amp;$B$13,'Données'!$A$2:$A$73,0),MATCH($A25,'Données'!$E$1:$AD$1,0))="",NA(),INDEX('Données'!$E$2:$AD$73,MATCH($B$15&amp;"|"&amp;$B$13,'Données'!$A$2:$A$73,0),MATCH($A25,'Données'!$E$1:$AD$1,0))),NA())</f>
        <v>0</v>
      </c>
      <c r="C25">
        <f>IFERROR(IF(INDEX('Données'!$E$2:$AD$73,MATCH($B$15&amp;"|"&amp;$B$14,'Données'!$A$2:$A$73,0),MATCH($A25,'Données'!$E$1:$AD$1,0))="",NA(),INDEX('Données'!$E$2:$AD$73,MATCH($B$15&amp;"|"&amp;$B$14,'Données'!$A$2:$A$73,0),MATCH($A25,'Données'!$E$1:$AD$1,0))),NA())</f>
        <v>0</v>
      </c>
      <c r="D25">
        <f>IFERROR(IF(INDEX('Données'!$E$2:$AD$73,MATCH($B$15&amp;"|"&amp;"UEMOA",'Données'!$A$2:$A$73,0),MATCH($A25,'Données'!$E$1:$AD$1,0))="",NA(),INDEX('Données'!$E$2:$AD$73,MATCH($B$15&amp;"|"&amp;"UEMOA",'Données'!$A$2:$A$73,0),MATCH($A25,'Données'!$E$1:$AD$1,0))),NA())</f>
        <v>0</v>
      </c>
    </row>
    <row r="26" spans="1:4">
      <c r="A26">
        <v>2002</v>
      </c>
      <c r="B26">
        <f>IFERROR(IF(INDEX('Données'!$E$2:$AD$73,MATCH($B$15&amp;"|"&amp;$B$13,'Données'!$A$2:$A$73,0),MATCH($A26,'Données'!$E$1:$AD$1,0))="",NA(),INDEX('Données'!$E$2:$AD$73,MATCH($B$15&amp;"|"&amp;$B$13,'Données'!$A$2:$A$73,0),MATCH($A26,'Données'!$E$1:$AD$1,0))),NA())</f>
        <v>0</v>
      </c>
      <c r="C26">
        <f>IFERROR(IF(INDEX('Données'!$E$2:$AD$73,MATCH($B$15&amp;"|"&amp;$B$14,'Données'!$A$2:$A$73,0),MATCH($A26,'Données'!$E$1:$AD$1,0))="",NA(),INDEX('Données'!$E$2:$AD$73,MATCH($B$15&amp;"|"&amp;$B$14,'Données'!$A$2:$A$73,0),MATCH($A26,'Données'!$E$1:$AD$1,0))),NA())</f>
        <v>0</v>
      </c>
      <c r="D26">
        <f>IFERROR(IF(INDEX('Données'!$E$2:$AD$73,MATCH($B$15&amp;"|"&amp;"UEMOA",'Données'!$A$2:$A$73,0),MATCH($A26,'Données'!$E$1:$AD$1,0))="",NA(),INDEX('Données'!$E$2:$AD$73,MATCH($B$15&amp;"|"&amp;"UEMOA",'Données'!$A$2:$A$73,0),MATCH($A26,'Données'!$E$1:$AD$1,0))),NA())</f>
        <v>0</v>
      </c>
    </row>
    <row r="27" spans="1:4">
      <c r="A27">
        <v>2003</v>
      </c>
      <c r="B27">
        <f>IFERROR(IF(INDEX('Données'!$E$2:$AD$73,MATCH($B$15&amp;"|"&amp;$B$13,'Données'!$A$2:$A$73,0),MATCH($A27,'Données'!$E$1:$AD$1,0))="",NA(),INDEX('Données'!$E$2:$AD$73,MATCH($B$15&amp;"|"&amp;$B$13,'Données'!$A$2:$A$73,0),MATCH($A27,'Données'!$E$1:$AD$1,0))),NA())</f>
        <v>0</v>
      </c>
      <c r="C27">
        <f>IFERROR(IF(INDEX('Données'!$E$2:$AD$73,MATCH($B$15&amp;"|"&amp;$B$14,'Données'!$A$2:$A$73,0),MATCH($A27,'Données'!$E$1:$AD$1,0))="",NA(),INDEX('Données'!$E$2:$AD$73,MATCH($B$15&amp;"|"&amp;$B$14,'Données'!$A$2:$A$73,0),MATCH($A27,'Données'!$E$1:$AD$1,0))),NA())</f>
        <v>0</v>
      </c>
      <c r="D27">
        <f>IFERROR(IF(INDEX('Données'!$E$2:$AD$73,MATCH($B$15&amp;"|"&amp;"UEMOA",'Données'!$A$2:$A$73,0),MATCH($A27,'Données'!$E$1:$AD$1,0))="",NA(),INDEX('Données'!$E$2:$AD$73,MATCH($B$15&amp;"|"&amp;"UEMOA",'Données'!$A$2:$A$73,0),MATCH($A27,'Données'!$E$1:$AD$1,0))),NA())</f>
        <v>0</v>
      </c>
    </row>
    <row r="28" spans="1:4">
      <c r="A28">
        <v>2004</v>
      </c>
      <c r="B28">
        <f>IFERROR(IF(INDEX('Données'!$E$2:$AD$73,MATCH($B$15&amp;"|"&amp;$B$13,'Données'!$A$2:$A$73,0),MATCH($A28,'Données'!$E$1:$AD$1,0))="",NA(),INDEX('Données'!$E$2:$AD$73,MATCH($B$15&amp;"|"&amp;$B$13,'Données'!$A$2:$A$73,0),MATCH($A28,'Données'!$E$1:$AD$1,0))),NA())</f>
        <v>0</v>
      </c>
      <c r="C28">
        <f>IFERROR(IF(INDEX('Données'!$E$2:$AD$73,MATCH($B$15&amp;"|"&amp;$B$14,'Données'!$A$2:$A$73,0),MATCH($A28,'Données'!$E$1:$AD$1,0))="",NA(),INDEX('Données'!$E$2:$AD$73,MATCH($B$15&amp;"|"&amp;$B$14,'Données'!$A$2:$A$73,0),MATCH($A28,'Données'!$E$1:$AD$1,0))),NA())</f>
        <v>0</v>
      </c>
      <c r="D28">
        <f>IFERROR(IF(INDEX('Données'!$E$2:$AD$73,MATCH($B$15&amp;"|"&amp;"UEMOA",'Données'!$A$2:$A$73,0),MATCH($A28,'Données'!$E$1:$AD$1,0))="",NA(),INDEX('Données'!$E$2:$AD$73,MATCH($B$15&amp;"|"&amp;"UEMOA",'Données'!$A$2:$A$73,0),MATCH($A28,'Données'!$E$1:$AD$1,0))),NA())</f>
        <v>0</v>
      </c>
    </row>
    <row r="29" spans="1:4">
      <c r="A29">
        <v>2005</v>
      </c>
      <c r="B29">
        <f>IFERROR(IF(INDEX('Données'!$E$2:$AD$73,MATCH($B$15&amp;"|"&amp;$B$13,'Données'!$A$2:$A$73,0),MATCH($A29,'Données'!$E$1:$AD$1,0))="",NA(),INDEX('Données'!$E$2:$AD$73,MATCH($B$15&amp;"|"&amp;$B$13,'Données'!$A$2:$A$73,0),MATCH($A29,'Données'!$E$1:$AD$1,0))),NA())</f>
        <v>0</v>
      </c>
      <c r="C29">
        <f>IFERROR(IF(INDEX('Données'!$E$2:$AD$73,MATCH($B$15&amp;"|"&amp;$B$14,'Données'!$A$2:$A$73,0),MATCH($A29,'Données'!$E$1:$AD$1,0))="",NA(),INDEX('Données'!$E$2:$AD$73,MATCH($B$15&amp;"|"&amp;$B$14,'Données'!$A$2:$A$73,0),MATCH($A29,'Données'!$E$1:$AD$1,0))),NA())</f>
        <v>0</v>
      </c>
      <c r="D29">
        <f>IFERROR(IF(INDEX('Données'!$E$2:$AD$73,MATCH($B$15&amp;"|"&amp;"UEMOA",'Données'!$A$2:$A$73,0),MATCH($A29,'Données'!$E$1:$AD$1,0))="",NA(),INDEX('Données'!$E$2:$AD$73,MATCH($B$15&amp;"|"&amp;"UEMOA",'Données'!$A$2:$A$73,0),MATCH($A29,'Données'!$E$1:$AD$1,0))),NA())</f>
        <v>0</v>
      </c>
    </row>
    <row r="30" spans="1:4">
      <c r="A30">
        <v>2006</v>
      </c>
      <c r="B30">
        <f>IFERROR(IF(INDEX('Données'!$E$2:$AD$73,MATCH($B$15&amp;"|"&amp;$B$13,'Données'!$A$2:$A$73,0),MATCH($A30,'Données'!$E$1:$AD$1,0))="",NA(),INDEX('Données'!$E$2:$AD$73,MATCH($B$15&amp;"|"&amp;$B$13,'Données'!$A$2:$A$73,0),MATCH($A30,'Données'!$E$1:$AD$1,0))),NA())</f>
        <v>0</v>
      </c>
      <c r="C30">
        <f>IFERROR(IF(INDEX('Données'!$E$2:$AD$73,MATCH($B$15&amp;"|"&amp;$B$14,'Données'!$A$2:$A$73,0),MATCH($A30,'Données'!$E$1:$AD$1,0))="",NA(),INDEX('Données'!$E$2:$AD$73,MATCH($B$15&amp;"|"&amp;$B$14,'Données'!$A$2:$A$73,0),MATCH($A30,'Données'!$E$1:$AD$1,0))),NA())</f>
        <v>0</v>
      </c>
      <c r="D30">
        <f>IFERROR(IF(INDEX('Données'!$E$2:$AD$73,MATCH($B$15&amp;"|"&amp;"UEMOA",'Données'!$A$2:$A$73,0),MATCH($A30,'Données'!$E$1:$AD$1,0))="",NA(),INDEX('Données'!$E$2:$AD$73,MATCH($B$15&amp;"|"&amp;"UEMOA",'Données'!$A$2:$A$73,0),MATCH($A30,'Données'!$E$1:$AD$1,0))),NA())</f>
        <v>0</v>
      </c>
    </row>
    <row r="31" spans="1:4">
      <c r="A31">
        <v>2007</v>
      </c>
      <c r="B31">
        <f>IFERROR(IF(INDEX('Données'!$E$2:$AD$73,MATCH($B$15&amp;"|"&amp;$B$13,'Données'!$A$2:$A$73,0),MATCH($A31,'Données'!$E$1:$AD$1,0))="",NA(),INDEX('Données'!$E$2:$AD$73,MATCH($B$15&amp;"|"&amp;$B$13,'Données'!$A$2:$A$73,0),MATCH($A31,'Données'!$E$1:$AD$1,0))),NA())</f>
        <v>0</v>
      </c>
      <c r="C31">
        <f>IFERROR(IF(INDEX('Données'!$E$2:$AD$73,MATCH($B$15&amp;"|"&amp;$B$14,'Données'!$A$2:$A$73,0),MATCH($A31,'Données'!$E$1:$AD$1,0))="",NA(),INDEX('Données'!$E$2:$AD$73,MATCH($B$15&amp;"|"&amp;$B$14,'Données'!$A$2:$A$73,0),MATCH($A31,'Données'!$E$1:$AD$1,0))),NA())</f>
        <v>0</v>
      </c>
      <c r="D31">
        <f>IFERROR(IF(INDEX('Données'!$E$2:$AD$73,MATCH($B$15&amp;"|"&amp;"UEMOA",'Données'!$A$2:$A$73,0),MATCH($A31,'Données'!$E$1:$AD$1,0))="",NA(),INDEX('Données'!$E$2:$AD$73,MATCH($B$15&amp;"|"&amp;"UEMOA",'Données'!$A$2:$A$73,0),MATCH($A31,'Données'!$E$1:$AD$1,0))),NA())</f>
        <v>0</v>
      </c>
    </row>
    <row r="32" spans="1:4">
      <c r="A32">
        <v>2008</v>
      </c>
      <c r="B32">
        <f>IFERROR(IF(INDEX('Données'!$E$2:$AD$73,MATCH($B$15&amp;"|"&amp;$B$13,'Données'!$A$2:$A$73,0),MATCH($A32,'Données'!$E$1:$AD$1,0))="",NA(),INDEX('Données'!$E$2:$AD$73,MATCH($B$15&amp;"|"&amp;$B$13,'Données'!$A$2:$A$73,0),MATCH($A32,'Données'!$E$1:$AD$1,0))),NA())</f>
        <v>0</v>
      </c>
      <c r="C32">
        <f>IFERROR(IF(INDEX('Données'!$E$2:$AD$73,MATCH($B$15&amp;"|"&amp;$B$14,'Données'!$A$2:$A$73,0),MATCH($A32,'Données'!$E$1:$AD$1,0))="",NA(),INDEX('Données'!$E$2:$AD$73,MATCH($B$15&amp;"|"&amp;$B$14,'Données'!$A$2:$A$73,0),MATCH($A32,'Données'!$E$1:$AD$1,0))),NA())</f>
        <v>0</v>
      </c>
      <c r="D32">
        <f>IFERROR(IF(INDEX('Données'!$E$2:$AD$73,MATCH($B$15&amp;"|"&amp;"UEMOA",'Données'!$A$2:$A$73,0),MATCH($A32,'Données'!$E$1:$AD$1,0))="",NA(),INDEX('Données'!$E$2:$AD$73,MATCH($B$15&amp;"|"&amp;"UEMOA",'Données'!$A$2:$A$73,0),MATCH($A32,'Données'!$E$1:$AD$1,0))),NA())</f>
        <v>0</v>
      </c>
    </row>
    <row r="33" spans="1:4">
      <c r="A33">
        <v>2009</v>
      </c>
      <c r="B33">
        <f>IFERROR(IF(INDEX('Données'!$E$2:$AD$73,MATCH($B$15&amp;"|"&amp;$B$13,'Données'!$A$2:$A$73,0),MATCH($A33,'Données'!$E$1:$AD$1,0))="",NA(),INDEX('Données'!$E$2:$AD$73,MATCH($B$15&amp;"|"&amp;$B$13,'Données'!$A$2:$A$73,0),MATCH($A33,'Données'!$E$1:$AD$1,0))),NA())</f>
        <v>0</v>
      </c>
      <c r="C33">
        <f>IFERROR(IF(INDEX('Données'!$E$2:$AD$73,MATCH($B$15&amp;"|"&amp;$B$14,'Données'!$A$2:$A$73,0),MATCH($A33,'Données'!$E$1:$AD$1,0))="",NA(),INDEX('Données'!$E$2:$AD$73,MATCH($B$15&amp;"|"&amp;$B$14,'Données'!$A$2:$A$73,0),MATCH($A33,'Données'!$E$1:$AD$1,0))),NA())</f>
        <v>0</v>
      </c>
      <c r="D33">
        <f>IFERROR(IF(INDEX('Données'!$E$2:$AD$73,MATCH($B$15&amp;"|"&amp;"UEMOA",'Données'!$A$2:$A$73,0),MATCH($A33,'Données'!$E$1:$AD$1,0))="",NA(),INDEX('Données'!$E$2:$AD$73,MATCH($B$15&amp;"|"&amp;"UEMOA",'Données'!$A$2:$A$73,0),MATCH($A33,'Données'!$E$1:$AD$1,0))),NA())</f>
        <v>0</v>
      </c>
    </row>
    <row r="34" spans="1:4">
      <c r="A34">
        <v>2010</v>
      </c>
      <c r="B34">
        <f>IFERROR(IF(INDEX('Données'!$E$2:$AD$73,MATCH($B$15&amp;"|"&amp;$B$13,'Données'!$A$2:$A$73,0),MATCH($A34,'Données'!$E$1:$AD$1,0))="",NA(),INDEX('Données'!$E$2:$AD$73,MATCH($B$15&amp;"|"&amp;$B$13,'Données'!$A$2:$A$73,0),MATCH($A34,'Données'!$E$1:$AD$1,0))),NA())</f>
        <v>0</v>
      </c>
      <c r="C34">
        <f>IFERROR(IF(INDEX('Données'!$E$2:$AD$73,MATCH($B$15&amp;"|"&amp;$B$14,'Données'!$A$2:$A$73,0),MATCH($A34,'Données'!$E$1:$AD$1,0))="",NA(),INDEX('Données'!$E$2:$AD$73,MATCH($B$15&amp;"|"&amp;$B$14,'Données'!$A$2:$A$73,0),MATCH($A34,'Données'!$E$1:$AD$1,0))),NA())</f>
        <v>0</v>
      </c>
      <c r="D34">
        <f>IFERROR(IF(INDEX('Données'!$E$2:$AD$73,MATCH($B$15&amp;"|"&amp;"UEMOA",'Données'!$A$2:$A$73,0),MATCH($A34,'Données'!$E$1:$AD$1,0))="",NA(),INDEX('Données'!$E$2:$AD$73,MATCH($B$15&amp;"|"&amp;"UEMOA",'Données'!$A$2:$A$73,0),MATCH($A34,'Données'!$E$1:$AD$1,0))),NA())</f>
        <v>0</v>
      </c>
    </row>
    <row r="35" spans="1:4">
      <c r="A35">
        <v>2011</v>
      </c>
      <c r="B35">
        <f>IFERROR(IF(INDEX('Données'!$E$2:$AD$73,MATCH($B$15&amp;"|"&amp;$B$13,'Données'!$A$2:$A$73,0),MATCH($A35,'Données'!$E$1:$AD$1,0))="",NA(),INDEX('Données'!$E$2:$AD$73,MATCH($B$15&amp;"|"&amp;$B$13,'Données'!$A$2:$A$73,0),MATCH($A35,'Données'!$E$1:$AD$1,0))),NA())</f>
        <v>0</v>
      </c>
      <c r="C35">
        <f>IFERROR(IF(INDEX('Données'!$E$2:$AD$73,MATCH($B$15&amp;"|"&amp;$B$14,'Données'!$A$2:$A$73,0),MATCH($A35,'Données'!$E$1:$AD$1,0))="",NA(),INDEX('Données'!$E$2:$AD$73,MATCH($B$15&amp;"|"&amp;$B$14,'Données'!$A$2:$A$73,0),MATCH($A35,'Données'!$E$1:$AD$1,0))),NA())</f>
        <v>0</v>
      </c>
      <c r="D35">
        <f>IFERROR(IF(INDEX('Données'!$E$2:$AD$73,MATCH($B$15&amp;"|"&amp;"UEMOA",'Données'!$A$2:$A$73,0),MATCH($A35,'Données'!$E$1:$AD$1,0))="",NA(),INDEX('Données'!$E$2:$AD$73,MATCH($B$15&amp;"|"&amp;"UEMOA",'Données'!$A$2:$A$73,0),MATCH($A35,'Données'!$E$1:$AD$1,0))),NA())</f>
        <v>0</v>
      </c>
    </row>
    <row r="36" spans="1:4">
      <c r="A36">
        <v>2012</v>
      </c>
      <c r="B36">
        <f>IFERROR(IF(INDEX('Données'!$E$2:$AD$73,MATCH($B$15&amp;"|"&amp;$B$13,'Données'!$A$2:$A$73,0),MATCH($A36,'Données'!$E$1:$AD$1,0))="",NA(),INDEX('Données'!$E$2:$AD$73,MATCH($B$15&amp;"|"&amp;$B$13,'Données'!$A$2:$A$73,0),MATCH($A36,'Données'!$E$1:$AD$1,0))),NA())</f>
        <v>0</v>
      </c>
      <c r="C36">
        <f>IFERROR(IF(INDEX('Données'!$E$2:$AD$73,MATCH($B$15&amp;"|"&amp;$B$14,'Données'!$A$2:$A$73,0),MATCH($A36,'Données'!$E$1:$AD$1,0))="",NA(),INDEX('Données'!$E$2:$AD$73,MATCH($B$15&amp;"|"&amp;$B$14,'Données'!$A$2:$A$73,0),MATCH($A36,'Données'!$E$1:$AD$1,0))),NA())</f>
        <v>0</v>
      </c>
      <c r="D36">
        <f>IFERROR(IF(INDEX('Données'!$E$2:$AD$73,MATCH($B$15&amp;"|"&amp;"UEMOA",'Données'!$A$2:$A$73,0),MATCH($A36,'Données'!$E$1:$AD$1,0))="",NA(),INDEX('Données'!$E$2:$AD$73,MATCH($B$15&amp;"|"&amp;"UEMOA",'Données'!$A$2:$A$73,0),MATCH($A36,'Données'!$E$1:$AD$1,0))),NA())</f>
        <v>0</v>
      </c>
    </row>
    <row r="37" spans="1:4">
      <c r="A37">
        <v>2013</v>
      </c>
      <c r="B37">
        <f>IFERROR(IF(INDEX('Données'!$E$2:$AD$73,MATCH($B$15&amp;"|"&amp;$B$13,'Données'!$A$2:$A$73,0),MATCH($A37,'Données'!$E$1:$AD$1,0))="",NA(),INDEX('Données'!$E$2:$AD$73,MATCH($B$15&amp;"|"&amp;$B$13,'Données'!$A$2:$A$73,0),MATCH($A37,'Données'!$E$1:$AD$1,0))),NA())</f>
        <v>0</v>
      </c>
      <c r="C37">
        <f>IFERROR(IF(INDEX('Données'!$E$2:$AD$73,MATCH($B$15&amp;"|"&amp;$B$14,'Données'!$A$2:$A$73,0),MATCH($A37,'Données'!$E$1:$AD$1,0))="",NA(),INDEX('Données'!$E$2:$AD$73,MATCH($B$15&amp;"|"&amp;$B$14,'Données'!$A$2:$A$73,0),MATCH($A37,'Données'!$E$1:$AD$1,0))),NA())</f>
        <v>0</v>
      </c>
      <c r="D37">
        <f>IFERROR(IF(INDEX('Données'!$E$2:$AD$73,MATCH($B$15&amp;"|"&amp;"UEMOA",'Données'!$A$2:$A$73,0),MATCH($A37,'Données'!$E$1:$AD$1,0))="",NA(),INDEX('Données'!$E$2:$AD$73,MATCH($B$15&amp;"|"&amp;"UEMOA",'Données'!$A$2:$A$73,0),MATCH($A37,'Données'!$E$1:$AD$1,0))),NA())</f>
        <v>0</v>
      </c>
    </row>
    <row r="38" spans="1:4">
      <c r="A38">
        <v>2014</v>
      </c>
      <c r="B38">
        <f>IFERROR(IF(INDEX('Données'!$E$2:$AD$73,MATCH($B$15&amp;"|"&amp;$B$13,'Données'!$A$2:$A$73,0),MATCH($A38,'Données'!$E$1:$AD$1,0))="",NA(),INDEX('Données'!$E$2:$AD$73,MATCH($B$15&amp;"|"&amp;$B$13,'Données'!$A$2:$A$73,0),MATCH($A38,'Données'!$E$1:$AD$1,0))),NA())</f>
        <v>0</v>
      </c>
      <c r="C38">
        <f>IFERROR(IF(INDEX('Données'!$E$2:$AD$73,MATCH($B$15&amp;"|"&amp;$B$14,'Données'!$A$2:$A$73,0),MATCH($A38,'Données'!$E$1:$AD$1,0))="",NA(),INDEX('Données'!$E$2:$AD$73,MATCH($B$15&amp;"|"&amp;$B$14,'Données'!$A$2:$A$73,0),MATCH($A38,'Données'!$E$1:$AD$1,0))),NA())</f>
        <v>0</v>
      </c>
      <c r="D38">
        <f>IFERROR(IF(INDEX('Données'!$E$2:$AD$73,MATCH($B$15&amp;"|"&amp;"UEMOA",'Données'!$A$2:$A$73,0),MATCH($A38,'Données'!$E$1:$AD$1,0))="",NA(),INDEX('Données'!$E$2:$AD$73,MATCH($B$15&amp;"|"&amp;"UEMOA",'Données'!$A$2:$A$73,0),MATCH($A38,'Données'!$E$1:$AD$1,0))),NA())</f>
        <v>0</v>
      </c>
    </row>
    <row r="39" spans="1:4">
      <c r="A39">
        <v>2015</v>
      </c>
      <c r="B39">
        <f>IFERROR(IF(INDEX('Données'!$E$2:$AD$73,MATCH($B$15&amp;"|"&amp;$B$13,'Données'!$A$2:$A$73,0),MATCH($A39,'Données'!$E$1:$AD$1,0))="",NA(),INDEX('Données'!$E$2:$AD$73,MATCH($B$15&amp;"|"&amp;$B$13,'Données'!$A$2:$A$73,0),MATCH($A39,'Données'!$E$1:$AD$1,0))),NA())</f>
        <v>0</v>
      </c>
      <c r="C39">
        <f>IFERROR(IF(INDEX('Données'!$E$2:$AD$73,MATCH($B$15&amp;"|"&amp;$B$14,'Données'!$A$2:$A$73,0),MATCH($A39,'Données'!$E$1:$AD$1,0))="",NA(),INDEX('Données'!$E$2:$AD$73,MATCH($B$15&amp;"|"&amp;$B$14,'Données'!$A$2:$A$73,0),MATCH($A39,'Données'!$E$1:$AD$1,0))),NA())</f>
        <v>0</v>
      </c>
      <c r="D39">
        <f>IFERROR(IF(INDEX('Données'!$E$2:$AD$73,MATCH($B$15&amp;"|"&amp;"UEMOA",'Données'!$A$2:$A$73,0),MATCH($A39,'Données'!$E$1:$AD$1,0))="",NA(),INDEX('Données'!$E$2:$AD$73,MATCH($B$15&amp;"|"&amp;"UEMOA",'Données'!$A$2:$A$73,0),MATCH($A39,'Données'!$E$1:$AD$1,0))),NA())</f>
        <v>0</v>
      </c>
    </row>
    <row r="40" spans="1:4">
      <c r="A40">
        <v>2016</v>
      </c>
      <c r="B40">
        <f>IFERROR(IF(INDEX('Données'!$E$2:$AD$73,MATCH($B$15&amp;"|"&amp;$B$13,'Données'!$A$2:$A$73,0),MATCH($A40,'Données'!$E$1:$AD$1,0))="",NA(),INDEX('Données'!$E$2:$AD$73,MATCH($B$15&amp;"|"&amp;$B$13,'Données'!$A$2:$A$73,0),MATCH($A40,'Données'!$E$1:$AD$1,0))),NA())</f>
        <v>0</v>
      </c>
      <c r="C40">
        <f>IFERROR(IF(INDEX('Données'!$E$2:$AD$73,MATCH($B$15&amp;"|"&amp;$B$14,'Données'!$A$2:$A$73,0),MATCH($A40,'Données'!$E$1:$AD$1,0))="",NA(),INDEX('Données'!$E$2:$AD$73,MATCH($B$15&amp;"|"&amp;$B$14,'Données'!$A$2:$A$73,0),MATCH($A40,'Données'!$E$1:$AD$1,0))),NA())</f>
        <v>0</v>
      </c>
      <c r="D40">
        <f>IFERROR(IF(INDEX('Données'!$E$2:$AD$73,MATCH($B$15&amp;"|"&amp;"UEMOA",'Données'!$A$2:$A$73,0),MATCH($A40,'Données'!$E$1:$AD$1,0))="",NA(),INDEX('Données'!$E$2:$AD$73,MATCH($B$15&amp;"|"&amp;"UEMOA",'Données'!$A$2:$A$73,0),MATCH($A40,'Données'!$E$1:$AD$1,0))),NA())</f>
        <v>0</v>
      </c>
    </row>
    <row r="41" spans="1:4">
      <c r="A41">
        <v>2017</v>
      </c>
      <c r="B41">
        <f>IFERROR(IF(INDEX('Données'!$E$2:$AD$73,MATCH($B$15&amp;"|"&amp;$B$13,'Données'!$A$2:$A$73,0),MATCH($A41,'Données'!$E$1:$AD$1,0))="",NA(),INDEX('Données'!$E$2:$AD$73,MATCH($B$15&amp;"|"&amp;$B$13,'Données'!$A$2:$A$73,0),MATCH($A41,'Données'!$E$1:$AD$1,0))),NA())</f>
        <v>0</v>
      </c>
      <c r="C41">
        <f>IFERROR(IF(INDEX('Données'!$E$2:$AD$73,MATCH($B$15&amp;"|"&amp;$B$14,'Données'!$A$2:$A$73,0),MATCH($A41,'Données'!$E$1:$AD$1,0))="",NA(),INDEX('Données'!$E$2:$AD$73,MATCH($B$15&amp;"|"&amp;$B$14,'Données'!$A$2:$A$73,0),MATCH($A41,'Données'!$E$1:$AD$1,0))),NA())</f>
        <v>0</v>
      </c>
      <c r="D41">
        <f>IFERROR(IF(INDEX('Données'!$E$2:$AD$73,MATCH($B$15&amp;"|"&amp;"UEMOA",'Données'!$A$2:$A$73,0),MATCH($A41,'Données'!$E$1:$AD$1,0))="",NA(),INDEX('Données'!$E$2:$AD$73,MATCH($B$15&amp;"|"&amp;"UEMOA",'Données'!$A$2:$A$73,0),MATCH($A41,'Données'!$E$1:$AD$1,0))),NA())</f>
        <v>0</v>
      </c>
    </row>
    <row r="42" spans="1:4">
      <c r="A42">
        <v>2018</v>
      </c>
      <c r="B42">
        <f>IFERROR(IF(INDEX('Données'!$E$2:$AD$73,MATCH($B$15&amp;"|"&amp;$B$13,'Données'!$A$2:$A$73,0),MATCH($A42,'Données'!$E$1:$AD$1,0))="",NA(),INDEX('Données'!$E$2:$AD$73,MATCH($B$15&amp;"|"&amp;$B$13,'Données'!$A$2:$A$73,0),MATCH($A42,'Données'!$E$1:$AD$1,0))),NA())</f>
        <v>0</v>
      </c>
      <c r="C42">
        <f>IFERROR(IF(INDEX('Données'!$E$2:$AD$73,MATCH($B$15&amp;"|"&amp;$B$14,'Données'!$A$2:$A$73,0),MATCH($A42,'Données'!$E$1:$AD$1,0))="",NA(),INDEX('Données'!$E$2:$AD$73,MATCH($B$15&amp;"|"&amp;$B$14,'Données'!$A$2:$A$73,0),MATCH($A42,'Données'!$E$1:$AD$1,0))),NA())</f>
        <v>0</v>
      </c>
      <c r="D42">
        <f>IFERROR(IF(INDEX('Données'!$E$2:$AD$73,MATCH($B$15&amp;"|"&amp;"UEMOA",'Données'!$A$2:$A$73,0),MATCH($A42,'Données'!$E$1:$AD$1,0))="",NA(),INDEX('Données'!$E$2:$AD$73,MATCH($B$15&amp;"|"&amp;"UEMOA",'Données'!$A$2:$A$73,0),MATCH($A42,'Données'!$E$1:$AD$1,0))),NA())</f>
        <v>0</v>
      </c>
    </row>
    <row r="43" spans="1:4">
      <c r="A43">
        <v>2019</v>
      </c>
      <c r="B43">
        <f>IFERROR(IF(INDEX('Données'!$E$2:$AD$73,MATCH($B$15&amp;"|"&amp;$B$13,'Données'!$A$2:$A$73,0),MATCH($A43,'Données'!$E$1:$AD$1,0))="",NA(),INDEX('Données'!$E$2:$AD$73,MATCH($B$15&amp;"|"&amp;$B$13,'Données'!$A$2:$A$73,0),MATCH($A43,'Données'!$E$1:$AD$1,0))),NA())</f>
        <v>0</v>
      </c>
      <c r="C43">
        <f>IFERROR(IF(INDEX('Données'!$E$2:$AD$73,MATCH($B$15&amp;"|"&amp;$B$14,'Données'!$A$2:$A$73,0),MATCH($A43,'Données'!$E$1:$AD$1,0))="",NA(),INDEX('Données'!$E$2:$AD$73,MATCH($B$15&amp;"|"&amp;$B$14,'Données'!$A$2:$A$73,0),MATCH($A43,'Données'!$E$1:$AD$1,0))),NA())</f>
        <v>0</v>
      </c>
      <c r="D43">
        <f>IFERROR(IF(INDEX('Données'!$E$2:$AD$73,MATCH($B$15&amp;"|"&amp;"UEMOA",'Données'!$A$2:$A$73,0),MATCH($A43,'Données'!$E$1:$AD$1,0))="",NA(),INDEX('Données'!$E$2:$AD$73,MATCH($B$15&amp;"|"&amp;"UEMOA",'Données'!$A$2:$A$73,0),MATCH($A43,'Données'!$E$1:$AD$1,0))),NA())</f>
        <v>0</v>
      </c>
    </row>
    <row r="44" spans="1:4">
      <c r="A44">
        <v>2020</v>
      </c>
      <c r="B44">
        <f>IFERROR(IF(INDEX('Données'!$E$2:$AD$73,MATCH($B$15&amp;"|"&amp;$B$13,'Données'!$A$2:$A$73,0),MATCH($A44,'Données'!$E$1:$AD$1,0))="",NA(),INDEX('Données'!$E$2:$AD$73,MATCH($B$15&amp;"|"&amp;$B$13,'Données'!$A$2:$A$73,0),MATCH($A44,'Données'!$E$1:$AD$1,0))),NA())</f>
        <v>0</v>
      </c>
      <c r="C44">
        <f>IFERROR(IF(INDEX('Données'!$E$2:$AD$73,MATCH($B$15&amp;"|"&amp;$B$14,'Données'!$A$2:$A$73,0),MATCH($A44,'Données'!$E$1:$AD$1,0))="",NA(),INDEX('Données'!$E$2:$AD$73,MATCH($B$15&amp;"|"&amp;$B$14,'Données'!$A$2:$A$73,0),MATCH($A44,'Données'!$E$1:$AD$1,0))),NA())</f>
        <v>0</v>
      </c>
      <c r="D44">
        <f>IFERROR(IF(INDEX('Données'!$E$2:$AD$73,MATCH($B$15&amp;"|"&amp;"UEMOA",'Données'!$A$2:$A$73,0),MATCH($A44,'Données'!$E$1:$AD$1,0))="",NA(),INDEX('Données'!$E$2:$AD$73,MATCH($B$15&amp;"|"&amp;"UEMOA",'Données'!$A$2:$A$73,0),MATCH($A44,'Données'!$E$1:$AD$1,0))),NA())</f>
        <v>0</v>
      </c>
    </row>
    <row r="45" spans="1:4">
      <c r="A45">
        <v>2021</v>
      </c>
      <c r="B45">
        <f>IFERROR(IF(INDEX('Données'!$E$2:$AD$73,MATCH($B$15&amp;"|"&amp;$B$13,'Données'!$A$2:$A$73,0),MATCH($A45,'Données'!$E$1:$AD$1,0))="",NA(),INDEX('Données'!$E$2:$AD$73,MATCH($B$15&amp;"|"&amp;$B$13,'Données'!$A$2:$A$73,0),MATCH($A45,'Données'!$E$1:$AD$1,0))),NA())</f>
        <v>0</v>
      </c>
      <c r="C45">
        <f>IFERROR(IF(INDEX('Données'!$E$2:$AD$73,MATCH($B$15&amp;"|"&amp;$B$14,'Données'!$A$2:$A$73,0),MATCH($A45,'Données'!$E$1:$AD$1,0))="",NA(),INDEX('Données'!$E$2:$AD$73,MATCH($B$15&amp;"|"&amp;$B$14,'Données'!$A$2:$A$73,0),MATCH($A45,'Données'!$E$1:$AD$1,0))),NA())</f>
        <v>0</v>
      </c>
      <c r="D45">
        <f>IFERROR(IF(INDEX('Données'!$E$2:$AD$73,MATCH($B$15&amp;"|"&amp;"UEMOA",'Données'!$A$2:$A$73,0),MATCH($A45,'Données'!$E$1:$AD$1,0))="",NA(),INDEX('Données'!$E$2:$AD$73,MATCH($B$15&amp;"|"&amp;"UEMOA",'Données'!$A$2:$A$73,0),MATCH($A45,'Données'!$E$1:$AD$1,0))),NA())</f>
        <v>0</v>
      </c>
    </row>
    <row r="46" spans="1:4">
      <c r="A46">
        <v>2022</v>
      </c>
      <c r="B46">
        <f>IFERROR(IF(INDEX('Données'!$E$2:$AD$73,MATCH($B$15&amp;"|"&amp;$B$13,'Données'!$A$2:$A$73,0),MATCH($A46,'Données'!$E$1:$AD$1,0))="",NA(),INDEX('Données'!$E$2:$AD$73,MATCH($B$15&amp;"|"&amp;$B$13,'Données'!$A$2:$A$73,0),MATCH($A46,'Données'!$E$1:$AD$1,0))),NA())</f>
        <v>0</v>
      </c>
      <c r="C46">
        <f>IFERROR(IF(INDEX('Données'!$E$2:$AD$73,MATCH($B$15&amp;"|"&amp;$B$14,'Données'!$A$2:$A$73,0),MATCH($A46,'Données'!$E$1:$AD$1,0))="",NA(),INDEX('Données'!$E$2:$AD$73,MATCH($B$15&amp;"|"&amp;$B$14,'Données'!$A$2:$A$73,0),MATCH($A46,'Données'!$E$1:$AD$1,0))),NA())</f>
        <v>0</v>
      </c>
      <c r="D46">
        <f>IFERROR(IF(INDEX('Données'!$E$2:$AD$73,MATCH($B$15&amp;"|"&amp;"UEMOA",'Données'!$A$2:$A$73,0),MATCH($A46,'Données'!$E$1:$AD$1,0))="",NA(),INDEX('Données'!$E$2:$AD$73,MATCH($B$15&amp;"|"&amp;"UEMOA",'Données'!$A$2:$A$73,0),MATCH($A46,'Données'!$E$1:$AD$1,0))),NA())</f>
        <v>0</v>
      </c>
    </row>
    <row r="47" spans="1:4">
      <c r="A47">
        <v>2023</v>
      </c>
      <c r="B47">
        <f>IFERROR(IF(INDEX('Données'!$E$2:$AD$73,MATCH($B$15&amp;"|"&amp;$B$13,'Données'!$A$2:$A$73,0),MATCH($A47,'Données'!$E$1:$AD$1,0))="",NA(),INDEX('Données'!$E$2:$AD$73,MATCH($B$15&amp;"|"&amp;$B$13,'Données'!$A$2:$A$73,0),MATCH($A47,'Données'!$E$1:$AD$1,0))),NA())</f>
        <v>0</v>
      </c>
      <c r="C47">
        <f>IFERROR(IF(INDEX('Données'!$E$2:$AD$73,MATCH($B$15&amp;"|"&amp;$B$14,'Données'!$A$2:$A$73,0),MATCH($A47,'Données'!$E$1:$AD$1,0))="",NA(),INDEX('Données'!$E$2:$AD$73,MATCH($B$15&amp;"|"&amp;$B$14,'Données'!$A$2:$A$73,0),MATCH($A47,'Données'!$E$1:$AD$1,0))),NA())</f>
        <v>0</v>
      </c>
      <c r="D47">
        <f>IFERROR(IF(INDEX('Données'!$E$2:$AD$73,MATCH($B$15&amp;"|"&amp;"UEMOA",'Données'!$A$2:$A$73,0),MATCH($A47,'Données'!$E$1:$AD$1,0))="",NA(),INDEX('Données'!$E$2:$AD$73,MATCH($B$15&amp;"|"&amp;"UEMOA",'Données'!$A$2:$A$73,0),MATCH($A47,'Données'!$E$1:$AD$1,0))),NA())</f>
        <v>0</v>
      </c>
    </row>
    <row r="48" spans="1:4">
      <c r="A48">
        <v>2024</v>
      </c>
      <c r="B48">
        <f>IFERROR(IF(INDEX('Données'!$E$2:$AD$73,MATCH($B$15&amp;"|"&amp;$B$13,'Données'!$A$2:$A$73,0),MATCH($A48,'Données'!$E$1:$AD$1,0))="",NA(),INDEX('Données'!$E$2:$AD$73,MATCH($B$15&amp;"|"&amp;$B$13,'Données'!$A$2:$A$73,0),MATCH($A48,'Données'!$E$1:$AD$1,0))),NA())</f>
        <v>0</v>
      </c>
      <c r="C48">
        <f>IFERROR(IF(INDEX('Données'!$E$2:$AD$73,MATCH($B$15&amp;"|"&amp;$B$14,'Données'!$A$2:$A$73,0),MATCH($A48,'Données'!$E$1:$AD$1,0))="",NA(),INDEX('Données'!$E$2:$AD$73,MATCH($B$15&amp;"|"&amp;$B$14,'Données'!$A$2:$A$73,0),MATCH($A48,'Données'!$E$1:$AD$1,0))),NA())</f>
        <v>0</v>
      </c>
      <c r="D48">
        <f>IFERROR(IF(INDEX('Données'!$E$2:$AD$73,MATCH($B$15&amp;"|"&amp;"UEMOA",'Données'!$A$2:$A$73,0),MATCH($A48,'Données'!$E$1:$AD$1,0))="",NA(),INDEX('Données'!$E$2:$AD$73,MATCH($B$15&amp;"|"&amp;"UEMOA",'Données'!$A$2:$A$73,0),MATCH($A48,'Données'!$E$1:$AD$1,0))),NA())</f>
        <v>0</v>
      </c>
    </row>
    <row r="49" spans="1:4">
      <c r="A49">
        <v>2025</v>
      </c>
      <c r="B49">
        <f>IFERROR(IF(INDEX('Données'!$E$2:$AD$73,MATCH($B$15&amp;"|"&amp;$B$13,'Données'!$A$2:$A$73,0),MATCH($A49,'Données'!$E$1:$AD$1,0))="",NA(),INDEX('Données'!$E$2:$AD$73,MATCH($B$15&amp;"|"&amp;$B$13,'Données'!$A$2:$A$73,0),MATCH($A49,'Données'!$E$1:$AD$1,0))),NA())</f>
        <v>0</v>
      </c>
      <c r="C49">
        <f>IFERROR(IF(INDEX('Données'!$E$2:$AD$73,MATCH($B$15&amp;"|"&amp;$B$14,'Données'!$A$2:$A$73,0),MATCH($A49,'Données'!$E$1:$AD$1,0))="",NA(),INDEX('Données'!$E$2:$AD$73,MATCH($B$15&amp;"|"&amp;$B$14,'Données'!$A$2:$A$73,0),MATCH($A49,'Données'!$E$1:$AD$1,0))),NA())</f>
        <v>0</v>
      </c>
      <c r="D49">
        <f>IFERROR(IF(INDEX('Données'!$E$2:$AD$73,MATCH($B$15&amp;"|"&amp;"UEMOA",'Données'!$A$2:$A$73,0),MATCH($A49,'Données'!$E$1:$AD$1,0))="",NA(),INDEX('Données'!$E$2:$AD$73,MATCH($B$15&amp;"|"&amp;"UEMOA",'Données'!$A$2:$A$73,0),MATCH($A49,'Données'!$E$1:$AD$1,0))),NA())</f>
        <v>0</v>
      </c>
    </row>
    <row r="51" spans="1:4">
      <c r="A51" s="54" t="s">
        <v>2</v>
      </c>
      <c r="B51" s="54" t="s">
        <v>133</v>
      </c>
      <c r="C51" s="54" t="s">
        <v>136</v>
      </c>
    </row>
    <row r="52" spans="1:4">
      <c r="A52" t="s">
        <v>10</v>
      </c>
      <c r="B52">
        <f>IF($B$13="BEN",IFERROR(INDEX('Données'!$AF$2:$AF$73,MATCH($B$15&amp;"|BEN",'Données'!$A$2:$A$73,0)),NA()),NA())</f>
        <v>0</v>
      </c>
      <c r="C52">
        <f>IF($B$13&lt;&gt;"BEN",IFERROR(INDEX('Données'!$AF$2:$AF$73,MATCH($B$15&amp;"|BEN",'Données'!$A$2:$A$73,0)),NA()),NA())</f>
        <v>0</v>
      </c>
    </row>
    <row r="53" spans="1:4">
      <c r="A53" t="s">
        <v>13</v>
      </c>
      <c r="B53">
        <f>IF($B$13="BFA",IFERROR(INDEX('Données'!$AF$2:$AF$73,MATCH($B$15&amp;"|BFA",'Données'!$A$2:$A$73,0)),NA()),NA())</f>
        <v>0</v>
      </c>
      <c r="C53">
        <f>IF($B$13&lt;&gt;"BFA",IFERROR(INDEX('Données'!$AF$2:$AF$73,MATCH($B$15&amp;"|BFA",'Données'!$A$2:$A$73,0)),NA()),NA())</f>
        <v>0</v>
      </c>
    </row>
    <row r="54" spans="1:4">
      <c r="A54" t="s">
        <v>15</v>
      </c>
      <c r="B54">
        <f>IF($B$13="CIV",IFERROR(INDEX('Données'!$AF$2:$AF$73,MATCH($B$15&amp;"|CIV",'Données'!$A$2:$A$73,0)),NA()),NA())</f>
        <v>0</v>
      </c>
      <c r="C54">
        <f>IF($B$13&lt;&gt;"CIV",IFERROR(INDEX('Données'!$AF$2:$AF$73,MATCH($B$15&amp;"|CIV",'Données'!$A$2:$A$73,0)),NA()),NA())</f>
        <v>0</v>
      </c>
    </row>
    <row r="55" spans="1:4">
      <c r="A55" t="s">
        <v>17</v>
      </c>
      <c r="B55">
        <f>IF($B$13="GNB",IFERROR(INDEX('Données'!$AF$2:$AF$73,MATCH($B$15&amp;"|GNB",'Données'!$A$2:$A$73,0)),NA()),NA())</f>
        <v>0</v>
      </c>
      <c r="C55">
        <f>IF($B$13&lt;&gt;"GNB",IFERROR(INDEX('Données'!$AF$2:$AF$73,MATCH($B$15&amp;"|GNB",'Données'!$A$2:$A$73,0)),NA()),NA())</f>
        <v>0</v>
      </c>
    </row>
    <row r="56" spans="1:4">
      <c r="A56" t="s">
        <v>19</v>
      </c>
      <c r="B56">
        <f>IF($B$13="MLI",IFERROR(INDEX('Données'!$AF$2:$AF$73,MATCH($B$15&amp;"|MLI",'Données'!$A$2:$A$73,0)),NA()),NA())</f>
        <v>0</v>
      </c>
      <c r="C56">
        <f>IF($B$13&lt;&gt;"MLI",IFERROR(INDEX('Données'!$AF$2:$AF$73,MATCH($B$15&amp;"|MLI",'Données'!$A$2:$A$73,0)),NA()),NA())</f>
        <v>0</v>
      </c>
    </row>
    <row r="57" spans="1:4">
      <c r="A57" t="s">
        <v>21</v>
      </c>
      <c r="B57">
        <f>IF($B$13="NER",IFERROR(INDEX('Données'!$AF$2:$AF$73,MATCH($B$15&amp;"|NER",'Données'!$A$2:$A$73,0)),NA()),NA())</f>
        <v>0</v>
      </c>
      <c r="C57">
        <f>IF($B$13&lt;&gt;"NER",IFERROR(INDEX('Données'!$AF$2:$AF$73,MATCH($B$15&amp;"|NER",'Données'!$A$2:$A$73,0)),NA()),NA())</f>
        <v>0</v>
      </c>
    </row>
    <row r="58" spans="1:4">
      <c r="A58" t="s">
        <v>23</v>
      </c>
      <c r="B58">
        <f>IF($B$13="SEN",IFERROR(INDEX('Données'!$AF$2:$AF$73,MATCH($B$15&amp;"|SEN",'Données'!$A$2:$A$73,0)),NA()),NA())</f>
        <v>0</v>
      </c>
      <c r="C58">
        <f>IF($B$13&lt;&gt;"SEN",IFERROR(INDEX('Données'!$AF$2:$AF$73,MATCH($B$15&amp;"|SEN",'Données'!$A$2:$A$73,0)),NA()),NA())</f>
        <v>0</v>
      </c>
    </row>
    <row r="59" spans="1:4">
      <c r="A59" t="s">
        <v>25</v>
      </c>
      <c r="B59">
        <f>IF($B$13="TGO",IFERROR(INDEX('Données'!$AF$2:$AF$73,MATCH($B$15&amp;"|TGO",'Données'!$A$2:$A$73,0)),NA()),NA())</f>
        <v>0</v>
      </c>
      <c r="C59">
        <f>IF($B$13&lt;&gt;"TGO",IFERROR(INDEX('Données'!$AF$2:$AF$73,MATCH($B$15&amp;"|TGO",'Données'!$A$2:$A$73,0)),NA()),NA())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C24"/>
  <sheetViews>
    <sheetView showGridLines="0" workbookViewId="0"/>
  </sheetViews>
  <sheetFormatPr defaultRowHeight="15"/>
  <cols>
    <col min="1" max="1" width="3.28515625" customWidth="1"/>
    <col min="2" max="2" width="28.7109375" customWidth="1"/>
    <col min="3" max="3" width="95.7109375" customWidth="1"/>
  </cols>
  <sheetData>
    <row r="2" spans="2:3">
      <c r="B2" s="55" t="s">
        <v>166</v>
      </c>
      <c r="C2" s="55"/>
    </row>
    <row r="4" spans="2:3" ht="36" customHeight="1">
      <c r="B4" s="56" t="s">
        <v>167</v>
      </c>
      <c r="C4" s="57" t="s">
        <v>168</v>
      </c>
    </row>
    <row r="5" spans="2:3" ht="36" customHeight="1">
      <c r="B5" s="56" t="s">
        <v>169</v>
      </c>
      <c r="C5" s="57" t="s">
        <v>170</v>
      </c>
    </row>
    <row r="6" spans="2:3" ht="36" customHeight="1">
      <c r="B6" s="56" t="s">
        <v>171</v>
      </c>
      <c r="C6" s="57" t="s">
        <v>172</v>
      </c>
    </row>
    <row r="7" spans="2:3" ht="36" customHeight="1">
      <c r="B7" s="56" t="s">
        <v>173</v>
      </c>
      <c r="C7" s="57" t="s">
        <v>174</v>
      </c>
    </row>
    <row r="8" spans="2:3" ht="36" customHeight="1">
      <c r="B8" s="56" t="s">
        <v>135</v>
      </c>
      <c r="C8" s="57" t="s">
        <v>175</v>
      </c>
    </row>
    <row r="9" spans="2:3" ht="36" customHeight="1">
      <c r="B9" s="56" t="s">
        <v>176</v>
      </c>
      <c r="C9" s="57" t="s">
        <v>177</v>
      </c>
    </row>
    <row r="10" spans="2:3" ht="36" customHeight="1">
      <c r="B10" s="56" t="s">
        <v>178</v>
      </c>
      <c r="C10" s="57" t="s">
        <v>179</v>
      </c>
    </row>
    <row r="11" spans="2:3" ht="36" customHeight="1">
      <c r="B11" s="56" t="s">
        <v>180</v>
      </c>
      <c r="C11" s="57" t="s">
        <v>181</v>
      </c>
    </row>
    <row r="12" spans="2:3" ht="36" customHeight="1">
      <c r="B12" s="56" t="s">
        <v>182</v>
      </c>
      <c r="C12" s="57" t="s">
        <v>183</v>
      </c>
    </row>
    <row r="13" spans="2:3" ht="36" customHeight="1">
      <c r="B13" s="56" t="s">
        <v>184</v>
      </c>
      <c r="C13" s="57" t="s">
        <v>185</v>
      </c>
    </row>
    <row r="16" spans="2:3">
      <c r="B16" s="54" t="s">
        <v>186</v>
      </c>
    </row>
    <row r="17" spans="2:3">
      <c r="B17" s="56" t="s">
        <v>9</v>
      </c>
      <c r="C17" s="57" t="s">
        <v>187</v>
      </c>
    </row>
    <row r="18" spans="2:3">
      <c r="B18" s="56" t="s">
        <v>29</v>
      </c>
      <c r="C18" s="57" t="s">
        <v>188</v>
      </c>
    </row>
    <row r="19" spans="2:3">
      <c r="B19" s="56" t="s">
        <v>40</v>
      </c>
      <c r="C19" s="57" t="s">
        <v>189</v>
      </c>
    </row>
    <row r="20" spans="2:3">
      <c r="B20" s="56" t="s">
        <v>51</v>
      </c>
      <c r="C20" s="57" t="s">
        <v>190</v>
      </c>
    </row>
    <row r="21" spans="2:3">
      <c r="B21" s="56" t="s">
        <v>62</v>
      </c>
      <c r="C21" s="57" t="s">
        <v>191</v>
      </c>
    </row>
    <row r="22" spans="2:3">
      <c r="B22" s="56" t="s">
        <v>73</v>
      </c>
      <c r="C22" s="57" t="s">
        <v>192</v>
      </c>
    </row>
    <row r="23" spans="2:3">
      <c r="B23" s="56" t="s">
        <v>83</v>
      </c>
      <c r="C23" s="57" t="s">
        <v>193</v>
      </c>
    </row>
    <row r="24" spans="2:3">
      <c r="B24" s="56" t="s">
        <v>93</v>
      </c>
      <c r="C24" s="57" t="s">
        <v>194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Tableau de bord</vt:lpstr>
      <vt:lpstr>Données</vt:lpstr>
      <vt:lpstr>Calculs</vt:lpstr>
      <vt:lpstr>À propos</vt:lpstr>
      <vt:lpstr>'Tableau de bord'!Print_Area</vt:lpstr>
    </vt:vector>
  </TitlesOfParts>
  <Company>Pinel Baudelaire DAHOUI · Data Scientist &amp; chercheur en 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L'UEMOA en chiffres · tableau de bord interactif</dc:title>
  <dc:subject>Indicateurs économiques et sociaux des 8 pays de l'UEMOA (Banque mondiale)</dc:subject>
  <dc:creator>Pinel Baudelaire DAHOUI</dc:creator>
  <dc:description>site-pinel-dahoui.vercel.app</dc:description>
  <cp:lastModifiedBy>Pinel Baudelaire DAHOUI</cp:lastModifiedBy>
  <dcterms:created xsi:type="dcterms:W3CDTF">2026-09-29T14:45:24Z</dcterms:created>
  <dcterms:modified xsi:type="dcterms:W3CDTF">2026-09-29T14:45:24Z</dcterms:modified>
</cp:coreProperties>
</file>